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alexi\Documents\scolaire\IPSA\AeroIpsa\SP02\STABTRAJ\p54-p54\"/>
    </mc:Choice>
  </mc:AlternateContent>
  <xr:revisionPtr revIDLastSave="0" documentId="13_ncr:1_{013DA17B-FFB1-418D-93DA-118A498A9597}" xr6:coauthVersionLast="47" xr6:coauthVersionMax="47" xr10:uidLastSave="{00000000-0000-0000-0000-000000000000}"/>
  <bookViews>
    <workbookView xWindow="14400" yWindow="0" windowWidth="14400" windowHeight="15750" xr2:uid="{00000000-000D-0000-FFFF-FFFF00000000}"/>
  </bookViews>
  <sheets>
    <sheet name="Stabilito" sheetId="6" r:id="rId1"/>
    <sheet name="Trajecto" sheetId="1" r:id="rId2"/>
    <sheet name="Courbes" sheetId="2" r:id="rId3"/>
    <sheet name="Propu" sheetId="4" r:id="rId4"/>
    <sheet name="Calculs" sheetId="3" r:id="rId5"/>
    <sheet name="Abaco" sheetId="8" r:id="rId6"/>
    <sheet name="Info" sheetId="5" r:id="rId7"/>
    <sheet name="Controle" sheetId="7" r:id="rId8"/>
  </sheets>
  <definedNames>
    <definedName name="_xlnm._FilterDatabase" localSheetId="3" hidden="1">Propu!$O$317:$P$345</definedName>
    <definedName name="a_prop">Abaco!$G$41:$G$67</definedName>
    <definedName name="Acc_max">Trajecto!$L$24</definedName>
    <definedName name="acc_x">Calculs!$D$4:$D$1004</definedName>
    <definedName name="acc_xz">Calculs!$F$4:$F$1004</definedName>
    <definedName name="acc_z">Calculs!$E$4:$E$1004</definedName>
    <definedName name="Alt_para">Trajecto!$I$27</definedName>
    <definedName name="alt_prop">Abaco!$J$41:$J$67</definedName>
    <definedName name="Alt_rampe">Trajecto!$C$20</definedName>
    <definedName name="Alt_sat">Trajecto!$I$25</definedName>
    <definedName name="Altitude_culmi">Trajecto!$I$26</definedName>
    <definedName name="b_bal">Abaco!$I$41:$I$67</definedName>
    <definedName name="b_prop">Abaco!$H$41:$H$67</definedName>
    <definedName name="Beta">Calculs!$M$4:$M$1004</definedName>
    <definedName name="Beta_rampe">Trajecto!$C$19</definedName>
    <definedName name="BetaD">Calculs!$N$4:$N$1004</definedName>
    <definedName name="CdP">Propu!$B$3:$Y$4</definedName>
    <definedName name="CdP_P">Propu!$B$4:$Y$4</definedName>
    <definedName name="CdP_t">Propu!$B$3:$Y$3</definedName>
    <definedName name="Club">Stabilito!$C$9</definedName>
    <definedName name="Cn">Stabilito!$H$28</definedName>
    <definedName name="Cn0">Stabilito!$I$28</definedName>
    <definedName name="Cnai" localSheetId="0">Stabilito!$O$19</definedName>
    <definedName name="Cnai0">Stabilito!$P$19</definedName>
    <definedName name="Cnail" localSheetId="0">Stabilito!$O$20</definedName>
    <definedName name="Cnc" localSheetId="0">Stabilito!$O$21</definedName>
    <definedName name="Cni" localSheetId="0">Stabilito!$O$22</definedName>
    <definedName name="Cni0">Stabilito!$P$22</definedName>
    <definedName name="Cnj" localSheetId="0">Stabilito!$O$23</definedName>
    <definedName name="Cno" localSheetId="0">Stabilito!$O$18</definedName>
    <definedName name="Cnr" localSheetId="0">Stabilito!$O$24</definedName>
    <definedName name="Combustion">Propu!$X$2</definedName>
    <definedName name="CritCnmax" localSheetId="0">Stabilito!$J$28</definedName>
    <definedName name="CritCnmin" localSheetId="0">Stabilito!$G$28</definedName>
    <definedName name="CritFinessemax" localSheetId="0">Stabilito!$J$27</definedName>
    <definedName name="CritFinessemin" localSheetId="0">Stabilito!$G$27</definedName>
    <definedName name="CritMsCnmax" localSheetId="0">Stabilito!$J$30</definedName>
    <definedName name="CritMsCnmin" localSheetId="0">Stabilito!$G$30</definedName>
    <definedName name="CritMsmax" localSheetId="0">Stabilito!$J$29</definedName>
    <definedName name="CritMsmin" localSheetId="0">Stabilito!$G$29</definedName>
    <definedName name="Cx">Trajecto!$C$15</definedName>
    <definedName name="Cx_para">Trajecto!$C$28</definedName>
    <definedName name="Cx_satellite">Trajecto!$D$28</definedName>
    <definedName name="D_ail">Stabilito!$C$34</definedName>
    <definedName name="D_can" localSheetId="0">Stabilito!$D$34</definedName>
    <definedName name="D_int" localSheetId="0">Stabilito!$E$34</definedName>
    <definedName name="D_og">Stabilito!$C$23</definedName>
    <definedName name="D_ref">Stabilito!$C$14</definedName>
    <definedName name="D_var">Abaco!$B$41:$B$67</definedName>
    <definedName name="D1j">Stabilito!$M$7</definedName>
    <definedName name="D1r">Stabilito!$O$7</definedName>
    <definedName name="D2j">Stabilito!$M$8</definedName>
    <definedName name="D2r">Stabilito!$O$8</definedName>
    <definedName name="Débit">Calculs!$R$4:$R$1004</definedName>
    <definedName name="Depotage">Propu!$Z$2</definedName>
    <definedName name="Diam_propu">Propu!$T$2</definedName>
    <definedName name="Dt_para">Trajecto!$C$31</definedName>
    <definedName name="Dt_satellite">Trajecto!$D$31</definedName>
    <definedName name="Dx_para">Trajecto!$C$33</definedName>
    <definedName name="Dx_sat">Trajecto!$D$33</definedName>
    <definedName name="E_ail">Stabilito!$C$30</definedName>
    <definedName name="E_can">Stabilito!$D$30</definedName>
    <definedName name="E_int" localSheetId="0">Stabilito!$E$30</definedName>
    <definedName name="ep_ail">Stabilito!$C$31</definedName>
    <definedName name="ep_can">Stabilito!$D$31</definedName>
    <definedName name="ep_int" localSheetId="0">Stabilito!$E$31</definedName>
    <definedName name="Event">Calculs!$Y$4:$Y$1004</definedName>
    <definedName name="Event_para">Calculs!$Z$4:$Z$1004</definedName>
    <definedName name="Event_sat">Calculs!$AA$4:$AA$1004</definedName>
    <definedName name="f_ail" localSheetId="0">Stabilito!$C$35</definedName>
    <definedName name="f_can" localSheetId="0">Stabilito!$D$35</definedName>
    <definedName name="f_int" localSheetId="0">Stabilito!$E$35</definedName>
    <definedName name="Finesse">Stabilito!$H$27</definedName>
    <definedName name="Forme_ogive">Stabilito!$C$21</definedName>
    <definedName name="g">Info!$E$52</definedName>
    <definedName name="i_P">Calculs!$P$4:$P$1004</definedName>
    <definedName name="I_total">Propu!$D$2</definedName>
    <definedName name="ISP">Propu!$F$2</definedName>
    <definedName name="l_j">Stabilito!$M$6</definedName>
    <definedName name="l_r">Stabilito!$O$6</definedName>
    <definedName name="L_rampe">Trajecto!$C$18</definedName>
    <definedName name="Lang">Stabilito!$M$2</definedName>
    <definedName name="Liste_µfu">Propu!$F$317:$F$346</definedName>
    <definedName name="Liste_fusex">Propu!$R$317:$R$346</definedName>
    <definedName name="Liste_H2O">Propu!$C$317:$D$346</definedName>
    <definedName name="Liste_minif">Propu!$L$317:$M$346</definedName>
    <definedName name="Liste_minifT">Propu!$O$317:$O$346</definedName>
    <definedName name="Liste_propu">Propu!$A$317:$A$330</definedName>
    <definedName name="Liste_RC">Propu!$I$317:$J$346</definedName>
    <definedName name="Long_ogive">Stabilito!$C$22</definedName>
    <definedName name="Long_propu">Propu!$R$2</definedName>
    <definedName name="Long_tot">Stabilito!$C$13</definedName>
    <definedName name="m">Calculs!$S$4:$S$1004</definedName>
    <definedName name="m_ail">Stabilito!$C$27</definedName>
    <definedName name="m_bal">Abaco!$F$41:$F$67</definedName>
    <definedName name="m_can">Stabilito!$D$27</definedName>
    <definedName name="m_int" localSheetId="0">Stabilito!$E$27</definedName>
    <definedName name="m_poudre">Propu!$J$2</definedName>
    <definedName name="m_prop">Abaco!$E$41:$E$67</definedName>
    <definedName name="m_satellite">Trajecto!$D$24</definedName>
    <definedName name="m_tot">Trajecto!$C$10</definedName>
    <definedName name="m_var">Abaco!$D$41:$D$67</definedName>
    <definedName name="m_vide">Trajecto!$C$24</definedName>
    <definedName name="Masse_ail">Controle!$H$63</definedName>
    <definedName name="MassePlein">Stabilito!$M$14</definedName>
    <definedName name="MasseSans">Stabilito!$P$14</definedName>
    <definedName name="MasseVide">Stabilito!$N$14</definedName>
    <definedName name="Menu_Empennage">Stabilito!$B$111:$B$112</definedName>
    <definedName name="Menu_Lang">Stabilito!$B$93:$B$94</definedName>
    <definedName name="Menu_Ogive">Stabilito!$B$107:$B$109</definedName>
    <definedName name="Menu_sat">Trajecto!$B$104:$B$105</definedName>
    <definedName name="Menu_Transitions">Stabilito!$B$114:$B$115</definedName>
    <definedName name="Menu_Type">Stabilito!$B$96:$B$100</definedName>
    <definedName name="Menu_with_motor">Stabilito!$B$103:$B$105</definedName>
    <definedName name="MpropuPlein">Propu!$H$2</definedName>
    <definedName name="MpropuVide">Propu!$L$2</definedName>
    <definedName name="MS_Cn_max">Stabilito!$I$30</definedName>
    <definedName name="MS_Cn_max0">Stabilito!#REF!</definedName>
    <definedName name="MS_Cn_min">Stabilito!$H$30</definedName>
    <definedName name="MS_Cn_min0">Stabilito!#REF!</definedName>
    <definedName name="MS_max">Stabilito!$I$29</definedName>
    <definedName name="MS_max0">Stabilito!#REF!</definedName>
    <definedName name="MS_min">Stabilito!$H$29</definedName>
    <definedName name="MS_min0">Stabilito!#REF!</definedName>
    <definedName name="n_ail">Stabilito!$C$28</definedName>
    <definedName name="n_can">Stabilito!$D$28</definedName>
    <definedName name="n_int" localSheetId="0">Stabilito!$E$28</definedName>
    <definedName name="Nb_diam">Stabilito!$M$4</definedName>
    <definedName name="Nb_sat">Trajecto!$D$23</definedName>
    <definedName name="Nom">Stabilito!$C$8</definedName>
    <definedName name="p_ail">Stabilito!$C$29</definedName>
    <definedName name="p_can">Stabilito!$D$29</definedName>
    <definedName name="p_int" localSheetId="0">Stabilito!$E$29</definedName>
    <definedName name="pas">Calculs!$A$4:$A$1004</definedName>
    <definedName name="Poids">Calculs!$T$4:$T$1004</definedName>
    <definedName name="Portee_balistique">Trajecto!$J$28</definedName>
    <definedName name="pos_x">Calculs!$J$4:$J$1004</definedName>
    <definedName name="pos_xz">Calculs!$L$4:$L$1004</definedName>
    <definedName name="pos_z">Calculs!$K$4:$K$1004</definedName>
    <definedName name="pos_z_montant">Calculs!$AE$4:$AE$1004</definedName>
    <definedName name="Poussee">Calculs!$Q$4:$Q$1004</definedName>
    <definedName name="Propu">Stabilito!$C$17</definedName>
    <definedName name="Q_ail">Stabilito!$C$32</definedName>
    <definedName name="Q_can">Stabilito!$D$32</definedName>
    <definedName name="Q_int" localSheetId="0">Stabilito!$E$32</definedName>
    <definedName name="Q_var">Abaco!$C$41:$C$67</definedName>
    <definedName name="R_rampe">Calculs!$U$4:$U$1004</definedName>
    <definedName name="Rho">Calculs!$V$4:$V$1004</definedName>
    <definedName name="Rho_moyen">Info!$E$53</definedName>
    <definedName name="S_ail">Controle!$H$64</definedName>
    <definedName name="S_para">Trajecto!$C$27</definedName>
    <definedName name="S_para_croix">Trajecto!$B$47</definedName>
    <definedName name="S_para_rond">Trajecto!$B$55</definedName>
    <definedName name="S_satellite">Trajecto!$D$27</definedName>
    <definedName name="Sref">Trajecto!$C$14</definedName>
    <definedName name="sS">Trajecto!$F$132</definedName>
    <definedName name="t">Calculs!$B$4:$B$1004</definedName>
    <definedName name="T_balistique">Trajecto!$H$28</definedName>
    <definedName name="T_ini">Trajecto!$H$40</definedName>
    <definedName name="T_para">Trajecto!$C$113</definedName>
    <definedName name="T_satellite">Trajecto!$D$26</definedName>
    <definedName name="Temps_culmi">Trajecto!$H$26</definedName>
    <definedName name="Temps_fin_propu">Propu!$X$3</definedName>
    <definedName name="Trainee">Calculs!$W$4:$W$1004</definedName>
    <definedName name="tT_fus">Trajecto!$F$133</definedName>
    <definedName name="tT_sat">Trajecto!$F$150</definedName>
    <definedName name="Type_fusee">Stabilito!$C$10</definedName>
    <definedName name="Type_masquage" localSheetId="5">Stabilito!$C$26</definedName>
    <definedName name="Type_masquage" localSheetId="0">Stabilito!$C$26</definedName>
    <definedName name="Type_propu">Propu!$V$2</definedName>
    <definedName name="V_ini">Trajecto!$K$40</definedName>
    <definedName name="V_ouv_sat">Trajecto!$K$25</definedName>
    <definedName name="V_ouverture">Trajecto!$K$27</definedName>
    <definedName name="V_para">Trajecto!$C$30</definedName>
    <definedName name="V_prop">Abaco!$K$41:$K$67</definedName>
    <definedName name="V_satellite">Trajecto!$D$30</definedName>
    <definedName name="V_vent">Trajecto!$C$29</definedName>
    <definedName name="V_vent_sat">Trajecto!$D$29</definedName>
    <definedName name="Version" localSheetId="0">Stabilito!$Q$36</definedName>
    <definedName name="Version" localSheetId="1">Trajecto!$N$35</definedName>
    <definedName name="Vit_culmi">Trajecto!$K$26</definedName>
    <definedName name="Vit_max">Trajecto!$K$24</definedName>
    <definedName name="vit_x">Calculs!$G$4:$G$1004</definedName>
    <definedName name="vit_xz">Calculs!$I$4:$I$1004</definedName>
    <definedName name="vit_z">Calculs!$H$4:$H$1004</definedName>
    <definedName name="Vsortie_de_rampe">Trajecto!$K$23</definedName>
    <definedName name="X_ail">Stabilito!$C$33</definedName>
    <definedName name="X_can">Stabilito!$D$33</definedName>
    <definedName name="X_culmi">Trajecto!$J$26</definedName>
    <definedName name="X_ini">Trajecto!$J$40</definedName>
    <definedName name="X_int" localSheetId="0">Stabilito!$E$33</definedName>
    <definedName name="X_j">Stabilito!$M$9</definedName>
    <definedName name="X_para">Trajecto!$J$27</definedName>
    <definedName name="X_r">Stabilito!$O$9</definedName>
    <definedName name="X_satellite">Trajecto!$J$25</definedName>
    <definedName name="XcgPlein">Stabilito!$M$15</definedName>
    <definedName name="XcgSans">Stabilito!$P$15</definedName>
    <definedName name="XcgVide">Stabilito!$N$15</definedName>
    <definedName name="XCp" localSheetId="0">Stabilito!$H$31</definedName>
    <definedName name="XCp0">Stabilito!$I$31</definedName>
    <definedName name="XCpa" localSheetId="0">Stabilito!$M$20</definedName>
    <definedName name="XCpai" localSheetId="0">Stabilito!$M$19</definedName>
    <definedName name="XCpai0">Stabilito!$N$19</definedName>
    <definedName name="XCpc" localSheetId="0">Stabilito!$M$21</definedName>
    <definedName name="XCpi" localSheetId="0">Stabilito!$M$22</definedName>
    <definedName name="XCpi0">Stabilito!$N$22</definedName>
    <definedName name="XCpj" localSheetId="0">Stabilito!$M$23</definedName>
    <definedName name="XCpo" localSheetId="0">Stabilito!$M$18</definedName>
    <definedName name="XCpr" localSheetId="0">Stabilito!$M$24</definedName>
    <definedName name="XpropuPlein">Propu!$N$2</definedName>
    <definedName name="XpropuRef">Stabilito!$C$18</definedName>
    <definedName name="XpropuVide">Propu!$P$2</definedName>
    <definedName name="Z_ini">Trajecto!$I$40</definedName>
    <definedName name="_xlnm.Print_Area" localSheetId="5">Abaco!$A$1:$M$35</definedName>
    <definedName name="_xlnm.Print_Area" localSheetId="2">Courbes!$A$1:$K$78</definedName>
    <definedName name="_xlnm.Print_Area" localSheetId="0">Stabilito!$A$1:$Q$37</definedName>
    <definedName name="_xlnm.Print_Area" localSheetId="1">Trajecto!$A$1:$N$35</definedName>
    <definedName name="zZ_fus">Trajecto!$F$134</definedName>
    <definedName name="zZ_sat">Trajecto!$F$151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6" l="1"/>
  <c r="C33" i="6" l="1"/>
  <c r="C18" i="6" l="1"/>
  <c r="C18" i="1"/>
  <c r="H6" i="7"/>
  <c r="K25" i="7"/>
  <c r="H8" i="7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J304" i="4"/>
  <c r="B304" i="4"/>
  <c r="C19" i="6"/>
  <c r="L322" i="4"/>
  <c r="L324" i="4"/>
  <c r="L325" i="4"/>
  <c r="L326" i="4"/>
  <c r="L320" i="4"/>
  <c r="L319" i="4"/>
  <c r="L318" i="4"/>
  <c r="L317" i="4"/>
  <c r="I321" i="4"/>
  <c r="I320" i="4"/>
  <c r="I319" i="4"/>
  <c r="I318" i="4"/>
  <c r="I317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J148" i="4"/>
  <c r="B148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S98" i="4"/>
  <c r="T98" i="4"/>
  <c r="U98" i="4"/>
  <c r="V98" i="4"/>
  <c r="W98" i="4"/>
  <c r="X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103" i="4"/>
  <c r="C98" i="4"/>
  <c r="X104" i="4"/>
  <c r="X105" i="4" s="1"/>
  <c r="W104" i="4"/>
  <c r="V104" i="4"/>
  <c r="U104" i="4"/>
  <c r="T104" i="4"/>
  <c r="S104" i="4"/>
  <c r="R104" i="4"/>
  <c r="Q104" i="4"/>
  <c r="P105" i="4" s="1"/>
  <c r="P104" i="4"/>
  <c r="O104" i="4"/>
  <c r="N105" i="4" s="1"/>
  <c r="N104" i="4"/>
  <c r="M104" i="4"/>
  <c r="L104" i="4"/>
  <c r="K104" i="4"/>
  <c r="J105" i="4" s="1"/>
  <c r="J104" i="4"/>
  <c r="I105" i="4" s="1"/>
  <c r="I104" i="4"/>
  <c r="H104" i="4"/>
  <c r="G104" i="4"/>
  <c r="F104" i="4"/>
  <c r="E104" i="4"/>
  <c r="D104" i="4"/>
  <c r="C104" i="4"/>
  <c r="B105" i="4" s="1"/>
  <c r="B104" i="4"/>
  <c r="L102" i="4"/>
  <c r="H102" i="4"/>
  <c r="B102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100" i="4" s="1"/>
  <c r="E99" i="4"/>
  <c r="D99" i="4"/>
  <c r="C99" i="4"/>
  <c r="B99" i="4"/>
  <c r="L97" i="4"/>
  <c r="H97" i="4"/>
  <c r="B97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D92" i="4" s="1"/>
  <c r="F92" i="4" s="1"/>
  <c r="H95" i="4"/>
  <c r="G95" i="4"/>
  <c r="F95" i="4"/>
  <c r="E95" i="4"/>
  <c r="D95" i="4"/>
  <c r="C95" i="4"/>
  <c r="B95" i="4"/>
  <c r="J92" i="4"/>
  <c r="B92" i="4"/>
  <c r="O344" i="4"/>
  <c r="O343" i="4"/>
  <c r="O342" i="4"/>
  <c r="O341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J203" i="4"/>
  <c r="B203" i="4"/>
  <c r="E5" i="7"/>
  <c r="H7" i="7"/>
  <c r="E7" i="7"/>
  <c r="E6" i="7"/>
  <c r="H9" i="7"/>
  <c r="K23" i="7"/>
  <c r="J26" i="7"/>
  <c r="J25" i="7"/>
  <c r="J23" i="7"/>
  <c r="G27" i="7"/>
  <c r="G26" i="7"/>
  <c r="F26" i="7"/>
  <c r="G25" i="7"/>
  <c r="G24" i="7"/>
  <c r="F24" i="7"/>
  <c r="G23" i="7"/>
  <c r="F23" i="7"/>
  <c r="D27" i="7"/>
  <c r="D24" i="7"/>
  <c r="B31" i="6"/>
  <c r="B30" i="6"/>
  <c r="B29" i="6"/>
  <c r="B28" i="6"/>
  <c r="B27" i="6"/>
  <c r="B35" i="6"/>
  <c r="B34" i="6"/>
  <c r="B33" i="6"/>
  <c r="B32" i="6"/>
  <c r="U35" i="7"/>
  <c r="U34" i="7"/>
  <c r="U33" i="7"/>
  <c r="U32" i="7"/>
  <c r="U31" i="7"/>
  <c r="U30" i="7"/>
  <c r="P32" i="7"/>
  <c r="P31" i="7"/>
  <c r="Q34" i="7"/>
  <c r="P29" i="7"/>
  <c r="U20" i="7"/>
  <c r="Q17" i="7"/>
  <c r="U16" i="7"/>
  <c r="U13" i="7"/>
  <c r="Q12" i="7"/>
  <c r="U11" i="7"/>
  <c r="Q3" i="7"/>
  <c r="E17" i="7"/>
  <c r="E16" i="7"/>
  <c r="E15" i="7"/>
  <c r="E13" i="7"/>
  <c r="B52" i="1"/>
  <c r="B50" i="1"/>
  <c r="B55" i="1"/>
  <c r="D27" i="1"/>
  <c r="I69" i="7" s="1"/>
  <c r="D24" i="1"/>
  <c r="E29" i="1" s="1"/>
  <c r="C161" i="6"/>
  <c r="C162" i="6"/>
  <c r="C160" i="6"/>
  <c r="C159" i="6"/>
  <c r="C158" i="6"/>
  <c r="C25" i="6"/>
  <c r="M21" i="6"/>
  <c r="C140" i="6"/>
  <c r="D25" i="7"/>
  <c r="F108" i="1"/>
  <c r="C113" i="1" s="1"/>
  <c r="C152" i="1"/>
  <c r="C150" i="1"/>
  <c r="C148" i="1"/>
  <c r="N33" i="1"/>
  <c r="C131" i="1"/>
  <c r="B25" i="1"/>
  <c r="J30" i="6"/>
  <c r="E191" i="6" s="1"/>
  <c r="G30" i="6"/>
  <c r="E182" i="6" s="1"/>
  <c r="J29" i="6"/>
  <c r="B188" i="6" s="1"/>
  <c r="G29" i="6"/>
  <c r="J28" i="6"/>
  <c r="C185" i="6" s="1"/>
  <c r="J27" i="6"/>
  <c r="G28" i="6"/>
  <c r="G27" i="6"/>
  <c r="W35" i="6"/>
  <c r="B100" i="6"/>
  <c r="B97" i="6"/>
  <c r="B98" i="6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T240" i="4" s="1"/>
  <c r="U240" i="4" s="1"/>
  <c r="V240" i="4" s="1"/>
  <c r="W240" i="4" s="1"/>
  <c r="S239" i="4"/>
  <c r="T239" i="4" s="1"/>
  <c r="J238" i="4"/>
  <c r="B238" i="4"/>
  <c r="O321" i="4"/>
  <c r="O320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V130" i="4"/>
  <c r="U131" i="4" s="1"/>
  <c r="T131" i="4"/>
  <c r="J128" i="4"/>
  <c r="B128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T125" i="4"/>
  <c r="S126" i="4" s="1"/>
  <c r="J123" i="4"/>
  <c r="B123" i="4"/>
  <c r="O340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V255" i="4"/>
  <c r="W255" i="4" s="1"/>
  <c r="V254" i="4"/>
  <c r="W254" i="4" s="1"/>
  <c r="X254" i="4" s="1"/>
  <c r="J253" i="4"/>
  <c r="B253" i="4"/>
  <c r="O337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T235" i="4" s="1"/>
  <c r="S234" i="4"/>
  <c r="R236" i="4" s="1"/>
  <c r="J233" i="4"/>
  <c r="B233" i="4"/>
  <c r="O346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1" i="4"/>
  <c r="R211" i="4"/>
  <c r="J208" i="4"/>
  <c r="B208" i="4"/>
  <c r="O336" i="4"/>
  <c r="O335" i="4"/>
  <c r="O334" i="4"/>
  <c r="O333" i="4"/>
  <c r="O338" i="4"/>
  <c r="O339" i="4"/>
  <c r="O345" i="4"/>
  <c r="O323" i="4"/>
  <c r="O324" i="4"/>
  <c r="O325" i="4"/>
  <c r="O326" i="4"/>
  <c r="O327" i="4"/>
  <c r="O319" i="4"/>
  <c r="O322" i="4"/>
  <c r="O328" i="4"/>
  <c r="O329" i="4"/>
  <c r="O330" i="4"/>
  <c r="O331" i="4"/>
  <c r="O332" i="4"/>
  <c r="O318" i="4"/>
  <c r="O317" i="4"/>
  <c r="U256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D228" i="4" s="1"/>
  <c r="F228" i="4" s="1"/>
  <c r="G231" i="4"/>
  <c r="F231" i="4"/>
  <c r="E231" i="4"/>
  <c r="D231" i="4"/>
  <c r="C231" i="4"/>
  <c r="B231" i="4"/>
  <c r="J228" i="4"/>
  <c r="B228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T225" i="4"/>
  <c r="U225" i="4" s="1"/>
  <c r="R226" i="4"/>
  <c r="T224" i="4"/>
  <c r="U224" i="4" s="1"/>
  <c r="V224" i="4" s="1"/>
  <c r="W224" i="4" s="1"/>
  <c r="J223" i="4"/>
  <c r="B223" i="4"/>
  <c r="V249" i="4"/>
  <c r="W249" i="4" s="1"/>
  <c r="W244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J248" i="4"/>
  <c r="B248" i="4"/>
  <c r="J246" i="4"/>
  <c r="I246" i="4"/>
  <c r="H246" i="4"/>
  <c r="G246" i="4"/>
  <c r="F246" i="4"/>
  <c r="E246" i="4"/>
  <c r="D246" i="4"/>
  <c r="C246" i="4"/>
  <c r="B246" i="4"/>
  <c r="J243" i="4"/>
  <c r="B243" i="4"/>
  <c r="L194" i="4"/>
  <c r="K196" i="4" s="1"/>
  <c r="R334" i="4"/>
  <c r="R335" i="4"/>
  <c r="R336" i="4"/>
  <c r="R337" i="4"/>
  <c r="R338" i="4"/>
  <c r="R339" i="4"/>
  <c r="S195" i="4"/>
  <c r="T195" i="4" s="1"/>
  <c r="U195" i="4" s="1"/>
  <c r="V195" i="4" s="1"/>
  <c r="W195" i="4" s="1"/>
  <c r="X195" i="4" s="1"/>
  <c r="X196" i="4" s="1"/>
  <c r="J196" i="4"/>
  <c r="I196" i="4"/>
  <c r="H196" i="4"/>
  <c r="G196" i="4"/>
  <c r="F196" i="4"/>
  <c r="E196" i="4"/>
  <c r="D196" i="4"/>
  <c r="C196" i="4"/>
  <c r="B196" i="4"/>
  <c r="J193" i="4"/>
  <c r="B193" i="4"/>
  <c r="S200" i="4"/>
  <c r="T200" i="4" s="1"/>
  <c r="S199" i="4"/>
  <c r="T199" i="4" s="1"/>
  <c r="U199" i="4" s="1"/>
  <c r="V199" i="4" s="1"/>
  <c r="W199" i="4" s="1"/>
  <c r="X199" i="4" s="1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J198" i="4"/>
  <c r="B198" i="4"/>
  <c r="B213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S215" i="4"/>
  <c r="T215" i="4" s="1"/>
  <c r="S214" i="4"/>
  <c r="J213" i="4"/>
  <c r="A2" i="4"/>
  <c r="B133" i="4"/>
  <c r="B4" i="3"/>
  <c r="AC4" i="3" s="1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J133" i="4"/>
  <c r="N4" i="3"/>
  <c r="M4" i="3" s="1"/>
  <c r="H4" i="3" s="1"/>
  <c r="J4" i="3"/>
  <c r="K4" i="3"/>
  <c r="V4" i="3" s="1"/>
  <c r="I4" i="3"/>
  <c r="B113" i="4"/>
  <c r="M18" i="6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U115" i="4"/>
  <c r="T116" i="4" s="1"/>
  <c r="J113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T165" i="4"/>
  <c r="S166" i="4" s="1"/>
  <c r="X164" i="4"/>
  <c r="L163" i="4"/>
  <c r="J163" i="4" s="1"/>
  <c r="B47" i="1"/>
  <c r="C27" i="1" s="1"/>
  <c r="D29" i="1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J26" i="4"/>
  <c r="B34" i="4"/>
  <c r="C34" i="4"/>
  <c r="D34" i="4"/>
  <c r="D31" i="4" s="1"/>
  <c r="F31" i="4" s="1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J31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J36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J41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J46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J51" i="4"/>
  <c r="B59" i="4"/>
  <c r="C59" i="4"/>
  <c r="D59" i="4"/>
  <c r="E59" i="4"/>
  <c r="F59" i="4"/>
  <c r="G59" i="4"/>
  <c r="H59" i="4"/>
  <c r="I59" i="4"/>
  <c r="D56" i="4" s="1"/>
  <c r="F56" i="4" s="1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J56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J61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J67" i="4"/>
  <c r="B75" i="4"/>
  <c r="C75" i="4"/>
  <c r="D75" i="4"/>
  <c r="E75" i="4"/>
  <c r="F75" i="4"/>
  <c r="G75" i="4"/>
  <c r="H75" i="4"/>
  <c r="I75" i="4"/>
  <c r="D72" i="4" s="1"/>
  <c r="F72" i="4" s="1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J72" i="4"/>
  <c r="B80" i="4"/>
  <c r="C80" i="4"/>
  <c r="D80" i="4"/>
  <c r="D77" i="4" s="1"/>
  <c r="F77" i="4" s="1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J77" i="4"/>
  <c r="C84" i="4"/>
  <c r="B84" i="4"/>
  <c r="D84" i="4"/>
  <c r="D85" i="4" s="1"/>
  <c r="E84" i="4"/>
  <c r="F84" i="4"/>
  <c r="E85" i="4" s="1"/>
  <c r="G84" i="4"/>
  <c r="F85" i="4" s="1"/>
  <c r="H84" i="4"/>
  <c r="I84" i="4"/>
  <c r="J84" i="4"/>
  <c r="K84" i="4"/>
  <c r="L84" i="4"/>
  <c r="L85" i="4" s="1"/>
  <c r="M84" i="4"/>
  <c r="N84" i="4"/>
  <c r="O84" i="4"/>
  <c r="N85" i="4" s="1"/>
  <c r="P84" i="4"/>
  <c r="O85" i="4" s="1"/>
  <c r="Q84" i="4"/>
  <c r="R84" i="4"/>
  <c r="S84" i="4"/>
  <c r="T84" i="4"/>
  <c r="U84" i="4"/>
  <c r="V84" i="4"/>
  <c r="W84" i="4"/>
  <c r="V85" i="4" s="1"/>
  <c r="X84" i="4"/>
  <c r="H82" i="4"/>
  <c r="L82" i="4"/>
  <c r="C89" i="4"/>
  <c r="B89" i="4"/>
  <c r="D89" i="4"/>
  <c r="E89" i="4"/>
  <c r="F89" i="4"/>
  <c r="G89" i="4"/>
  <c r="F90" i="4" s="1"/>
  <c r="H89" i="4"/>
  <c r="G90" i="4" s="1"/>
  <c r="I89" i="4"/>
  <c r="J89" i="4"/>
  <c r="K89" i="4"/>
  <c r="K90" i="4" s="1"/>
  <c r="L89" i="4"/>
  <c r="M89" i="4"/>
  <c r="N89" i="4"/>
  <c r="O89" i="4"/>
  <c r="P89" i="4"/>
  <c r="O90" i="4" s="1"/>
  <c r="Q89" i="4"/>
  <c r="R89" i="4"/>
  <c r="S89" i="4"/>
  <c r="S90" i="4" s="1"/>
  <c r="T89" i="4"/>
  <c r="U89" i="4"/>
  <c r="V89" i="4"/>
  <c r="W89" i="4"/>
  <c r="V90" i="4" s="1"/>
  <c r="X89" i="4"/>
  <c r="X90" i="4" s="1"/>
  <c r="H87" i="4"/>
  <c r="L87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T110" i="4"/>
  <c r="S111" i="4" s="1"/>
  <c r="J108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T120" i="4"/>
  <c r="S121" i="4" s="1"/>
  <c r="J118" i="4"/>
  <c r="B141" i="4"/>
  <c r="C141" i="4"/>
  <c r="D141" i="4"/>
  <c r="D138" i="4" s="1"/>
  <c r="F138" i="4" s="1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J138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J143" i="4"/>
  <c r="B156" i="4"/>
  <c r="C156" i="4"/>
  <c r="D156" i="4"/>
  <c r="D153" i="4" s="1"/>
  <c r="F153" i="4" s="1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J153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J158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J168" i="4"/>
  <c r="B176" i="4"/>
  <c r="C176" i="4"/>
  <c r="D176" i="4"/>
  <c r="E176" i="4"/>
  <c r="F176" i="4"/>
  <c r="G176" i="4"/>
  <c r="H176" i="4"/>
  <c r="I176" i="4"/>
  <c r="D173" i="4" s="1"/>
  <c r="F173" i="4" s="1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J173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J178" i="4"/>
  <c r="B186" i="4"/>
  <c r="C186" i="4"/>
  <c r="D186" i="4"/>
  <c r="E186" i="4"/>
  <c r="F186" i="4"/>
  <c r="G186" i="4"/>
  <c r="H186" i="4"/>
  <c r="I186" i="4"/>
  <c r="D183" i="4" s="1"/>
  <c r="F183" i="4" s="1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J183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0" i="4"/>
  <c r="U190" i="4" s="1"/>
  <c r="X189" i="4"/>
  <c r="L188" i="4"/>
  <c r="J188" i="4" s="1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J218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J258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J263" i="4"/>
  <c r="B272" i="4"/>
  <c r="C272" i="4"/>
  <c r="D269" i="4" s="1"/>
  <c r="F269" i="4" s="1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J269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J274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J279" i="4"/>
  <c r="B287" i="4"/>
  <c r="D284" i="4" s="1"/>
  <c r="F284" i="4" s="1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J284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J289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J294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J299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J309" i="4"/>
  <c r="A316" i="4"/>
  <c r="B26" i="4"/>
  <c r="N26" i="4"/>
  <c r="B31" i="4"/>
  <c r="N31" i="4"/>
  <c r="B36" i="4"/>
  <c r="N36" i="4"/>
  <c r="B41" i="4"/>
  <c r="N41" i="4"/>
  <c r="B46" i="4"/>
  <c r="N46" i="4"/>
  <c r="B51" i="4"/>
  <c r="N51" i="4"/>
  <c r="B56" i="4"/>
  <c r="N56" i="4"/>
  <c r="B61" i="4"/>
  <c r="N61" i="4"/>
  <c r="B67" i="4"/>
  <c r="B72" i="4"/>
  <c r="B77" i="4"/>
  <c r="B82" i="4"/>
  <c r="B87" i="4"/>
  <c r="B108" i="4"/>
  <c r="B118" i="4"/>
  <c r="B138" i="4"/>
  <c r="B143" i="4"/>
  <c r="B153" i="4"/>
  <c r="B158" i="4"/>
  <c r="B163" i="4"/>
  <c r="B168" i="4"/>
  <c r="B173" i="4"/>
  <c r="B178" i="4"/>
  <c r="B183" i="4"/>
  <c r="B188" i="4"/>
  <c r="B218" i="4"/>
  <c r="B258" i="4"/>
  <c r="B263" i="4"/>
  <c r="B269" i="4"/>
  <c r="B274" i="4"/>
  <c r="B279" i="4"/>
  <c r="B284" i="4"/>
  <c r="B289" i="4"/>
  <c r="B294" i="4"/>
  <c r="B299" i="4"/>
  <c r="B309" i="4"/>
  <c r="E116" i="7"/>
  <c r="F85" i="7"/>
  <c r="H118" i="7"/>
  <c r="H111" i="7"/>
  <c r="E102" i="7"/>
  <c r="E103" i="7"/>
  <c r="E104" i="7"/>
  <c r="E100" i="7"/>
  <c r="H105" i="7"/>
  <c r="J105" i="7"/>
  <c r="J101" i="7"/>
  <c r="F97" i="7"/>
  <c r="J92" i="7"/>
  <c r="J88" i="7"/>
  <c r="J86" i="7"/>
  <c r="J84" i="7"/>
  <c r="F90" i="7"/>
  <c r="F82" i="7"/>
  <c r="D85" i="7"/>
  <c r="D83" i="7"/>
  <c r="D81" i="7"/>
  <c r="D80" i="7"/>
  <c r="B19" i="6"/>
  <c r="F321" i="4"/>
  <c r="F320" i="4"/>
  <c r="C21" i="5"/>
  <c r="C20" i="5"/>
  <c r="C26" i="5"/>
  <c r="C22" i="5"/>
  <c r="C17" i="5"/>
  <c r="C19" i="5"/>
  <c r="C16" i="5"/>
  <c r="C15" i="5"/>
  <c r="L2" i="6"/>
  <c r="C317" i="4"/>
  <c r="F317" i="4"/>
  <c r="R317" i="4"/>
  <c r="C318" i="4"/>
  <c r="F318" i="4"/>
  <c r="R318" i="4"/>
  <c r="C319" i="4"/>
  <c r="F319" i="4"/>
  <c r="C320" i="4"/>
  <c r="C321" i="4"/>
  <c r="C322" i="4"/>
  <c r="C323" i="4"/>
  <c r="C324" i="4"/>
  <c r="B146" i="2"/>
  <c r="B35" i="1"/>
  <c r="B36" i="6"/>
  <c r="B15" i="8"/>
  <c r="B76" i="2"/>
  <c r="B11" i="8"/>
  <c r="B107" i="1"/>
  <c r="F42" i="5"/>
  <c r="B71" i="8"/>
  <c r="B78" i="8"/>
  <c r="C5" i="8"/>
  <c r="B76" i="8"/>
  <c r="B74" i="8"/>
  <c r="B73" i="8"/>
  <c r="B10" i="8"/>
  <c r="C4" i="8"/>
  <c r="C16" i="8"/>
  <c r="C14" i="8"/>
  <c r="C12" i="8"/>
  <c r="B12" i="8"/>
  <c r="C9" i="8"/>
  <c r="C8" i="8"/>
  <c r="B8" i="8"/>
  <c r="C7" i="8"/>
  <c r="N36" i="6"/>
  <c r="C51" i="5"/>
  <c r="C53" i="5"/>
  <c r="T18" i="6"/>
  <c r="S17" i="6"/>
  <c r="S19" i="6"/>
  <c r="S18" i="6"/>
  <c r="S13" i="6"/>
  <c r="S14" i="6"/>
  <c r="S12" i="6"/>
  <c r="T16" i="6"/>
  <c r="T11" i="6"/>
  <c r="L38" i="6"/>
  <c r="B93" i="1"/>
  <c r="B79" i="2"/>
  <c r="H64" i="7"/>
  <c r="H63" i="7" s="1"/>
  <c r="E59" i="7"/>
  <c r="E55" i="7"/>
  <c r="H52" i="7"/>
  <c r="D45" i="7"/>
  <c r="E44" i="7"/>
  <c r="D44" i="7"/>
  <c r="E46" i="7"/>
  <c r="D46" i="7"/>
  <c r="E43" i="7"/>
  <c r="D43" i="7"/>
  <c r="E41" i="7"/>
  <c r="E50" i="7"/>
  <c r="E48" i="7"/>
  <c r="E47" i="7"/>
  <c r="H50" i="7"/>
  <c r="E51" i="7"/>
  <c r="C31" i="7"/>
  <c r="C5" i="5"/>
  <c r="C6" i="5"/>
  <c r="C7" i="5"/>
  <c r="C8" i="5"/>
  <c r="C10" i="5"/>
  <c r="C11" i="5"/>
  <c r="C12" i="5"/>
  <c r="C13" i="5"/>
  <c r="C23" i="5"/>
  <c r="C25" i="5"/>
  <c r="C28" i="5"/>
  <c r="C33" i="5"/>
  <c r="F34" i="5"/>
  <c r="F35" i="5"/>
  <c r="F36" i="5"/>
  <c r="F37" i="5"/>
  <c r="F38" i="5"/>
  <c r="F39" i="5"/>
  <c r="F40" i="5"/>
  <c r="C52" i="5"/>
  <c r="A1" i="4"/>
  <c r="A3" i="4"/>
  <c r="A4" i="4"/>
  <c r="B77" i="2"/>
  <c r="B78" i="2"/>
  <c r="B131" i="2"/>
  <c r="B133" i="2"/>
  <c r="B134" i="2"/>
  <c r="B135" i="2"/>
  <c r="B137" i="2"/>
  <c r="B138" i="2"/>
  <c r="B140" i="2"/>
  <c r="B141" i="2"/>
  <c r="B144" i="2"/>
  <c r="C4" i="1"/>
  <c r="C6" i="1"/>
  <c r="C7" i="1"/>
  <c r="C23" i="1" s="1"/>
  <c r="B8" i="1"/>
  <c r="C8" i="1"/>
  <c r="C9" i="1"/>
  <c r="B10" i="1"/>
  <c r="B11" i="1"/>
  <c r="C11" i="1"/>
  <c r="C13" i="1"/>
  <c r="C17" i="1"/>
  <c r="B18" i="1"/>
  <c r="B19" i="1"/>
  <c r="C22" i="1"/>
  <c r="G22" i="1"/>
  <c r="H22" i="1"/>
  <c r="J22" i="1"/>
  <c r="K22" i="1"/>
  <c r="F23" i="1"/>
  <c r="B24" i="1"/>
  <c r="F24" i="1"/>
  <c r="B26" i="1"/>
  <c r="F25" i="1"/>
  <c r="H25" i="1"/>
  <c r="F27" i="1"/>
  <c r="B29" i="1"/>
  <c r="F28" i="1"/>
  <c r="B30" i="1"/>
  <c r="B31" i="1"/>
  <c r="H31" i="1"/>
  <c r="B32" i="1"/>
  <c r="F32" i="1"/>
  <c r="B33" i="1"/>
  <c r="F33" i="1"/>
  <c r="F34" i="1"/>
  <c r="A38" i="1"/>
  <c r="F38" i="1"/>
  <c r="H38" i="1"/>
  <c r="J38" i="1"/>
  <c r="K38" i="1"/>
  <c r="F40" i="1"/>
  <c r="M40" i="1"/>
  <c r="F41" i="1"/>
  <c r="B42" i="1"/>
  <c r="F42" i="1"/>
  <c r="F43" i="1"/>
  <c r="B44" i="1"/>
  <c r="F45" i="1"/>
  <c r="F46" i="1"/>
  <c r="F47" i="1"/>
  <c r="L47" i="1"/>
  <c r="F48" i="1"/>
  <c r="H48" i="1"/>
  <c r="F49" i="1"/>
  <c r="I49" i="1"/>
  <c r="L49" i="1"/>
  <c r="M49" i="1"/>
  <c r="B102" i="1"/>
  <c r="B109" i="1"/>
  <c r="B110" i="1"/>
  <c r="B111" i="1"/>
  <c r="B112" i="1"/>
  <c r="B113" i="1"/>
  <c r="B117" i="1"/>
  <c r="C140" i="1"/>
  <c r="C142" i="1"/>
  <c r="C144" i="1"/>
  <c r="B148" i="1"/>
  <c r="C4" i="6"/>
  <c r="C6" i="6"/>
  <c r="L6" i="6"/>
  <c r="C7" i="6"/>
  <c r="L7" i="6"/>
  <c r="B8" i="6"/>
  <c r="L8" i="6"/>
  <c r="L9" i="6"/>
  <c r="B11" i="6"/>
  <c r="M11" i="6"/>
  <c r="N11" i="6"/>
  <c r="P11" i="6"/>
  <c r="B12" i="6"/>
  <c r="L12" i="6"/>
  <c r="B13" i="6"/>
  <c r="L13" i="6"/>
  <c r="B14" i="6"/>
  <c r="L14" i="6"/>
  <c r="L15" i="6"/>
  <c r="C16" i="6"/>
  <c r="B18" i="6"/>
  <c r="L18" i="6"/>
  <c r="L19" i="6"/>
  <c r="C20" i="6"/>
  <c r="L20" i="6"/>
  <c r="B21" i="6"/>
  <c r="L21" i="6"/>
  <c r="B22" i="6"/>
  <c r="L22" i="6"/>
  <c r="B23" i="6"/>
  <c r="D25" i="6"/>
  <c r="F26" i="6"/>
  <c r="H26" i="6"/>
  <c r="E27" i="6"/>
  <c r="F28" i="6"/>
  <c r="F29" i="6"/>
  <c r="F30" i="6"/>
  <c r="E31" i="6"/>
  <c r="E32" i="6"/>
  <c r="D35" i="6"/>
  <c r="B91" i="6"/>
  <c r="B96" i="6"/>
  <c r="B103" i="6"/>
  <c r="B104" i="6"/>
  <c r="B105" i="6"/>
  <c r="B107" i="6"/>
  <c r="B108" i="6"/>
  <c r="B109" i="6"/>
  <c r="B114" i="6"/>
  <c r="B115" i="6"/>
  <c r="B117" i="6"/>
  <c r="B118" i="6"/>
  <c r="B119" i="6"/>
  <c r="B121" i="6"/>
  <c r="C124" i="6"/>
  <c r="E124" i="6"/>
  <c r="C125" i="6"/>
  <c r="C126" i="6" s="1"/>
  <c r="C127" i="6" s="1"/>
  <c r="D125" i="6"/>
  <c r="E125" i="6" s="1"/>
  <c r="C130" i="6"/>
  <c r="C131" i="6"/>
  <c r="E131" i="6"/>
  <c r="B137" i="6"/>
  <c r="B140" i="6"/>
  <c r="B146" i="6"/>
  <c r="B155" i="6"/>
  <c r="E175" i="6"/>
  <c r="C176" i="6"/>
  <c r="F176" i="6"/>
  <c r="G176" i="6"/>
  <c r="D176" i="6" s="1"/>
  <c r="E176" i="6" s="1"/>
  <c r="H176" i="6"/>
  <c r="C177" i="6"/>
  <c r="F177" i="6"/>
  <c r="G177" i="6"/>
  <c r="D177" i="6" s="1"/>
  <c r="E177" i="6" s="1"/>
  <c r="H177" i="6"/>
  <c r="C178" i="6"/>
  <c r="F178" i="6"/>
  <c r="G178" i="6"/>
  <c r="H178" i="6"/>
  <c r="C179" i="6"/>
  <c r="F179" i="6"/>
  <c r="G179" i="6"/>
  <c r="D179" i="6" s="1"/>
  <c r="E179" i="6" s="1"/>
  <c r="H179" i="6"/>
  <c r="C180" i="6"/>
  <c r="D180" i="6"/>
  <c r="E180" i="6" s="1"/>
  <c r="F180" i="6"/>
  <c r="G180" i="6"/>
  <c r="H180" i="6"/>
  <c r="U120" i="4"/>
  <c r="T121" i="4" s="1"/>
  <c r="W85" i="4"/>
  <c r="U85" i="4"/>
  <c r="M85" i="4"/>
  <c r="G85" i="4"/>
  <c r="V115" i="4"/>
  <c r="D133" i="4"/>
  <c r="F133" i="4" s="1"/>
  <c r="J87" i="4"/>
  <c r="Q90" i="4"/>
  <c r="I90" i="4"/>
  <c r="T214" i="4"/>
  <c r="U214" i="4" s="1"/>
  <c r="V214" i="4" s="1"/>
  <c r="W214" i="4" s="1"/>
  <c r="D263" i="4"/>
  <c r="F263" i="4" s="1"/>
  <c r="X85" i="4"/>
  <c r="T85" i="4"/>
  <c r="R85" i="4"/>
  <c r="P85" i="4"/>
  <c r="J85" i="4"/>
  <c r="H85" i="4"/>
  <c r="B85" i="4"/>
  <c r="V120" i="4"/>
  <c r="W120" i="4" s="1"/>
  <c r="T90" i="4"/>
  <c r="R90" i="4"/>
  <c r="N90" i="4"/>
  <c r="L90" i="4"/>
  <c r="D90" i="4"/>
  <c r="D51" i="4"/>
  <c r="F51" i="4" s="1"/>
  <c r="D36" i="4"/>
  <c r="F36" i="4" s="1"/>
  <c r="U165" i="4"/>
  <c r="T166" i="4" s="1"/>
  <c r="R201" i="4"/>
  <c r="T211" i="4"/>
  <c r="S226" i="4"/>
  <c r="S251" i="4"/>
  <c r="L246" i="4"/>
  <c r="K246" i="4"/>
  <c r="R251" i="4"/>
  <c r="U116" i="4"/>
  <c r="W115" i="4"/>
  <c r="X115" i="4" s="1"/>
  <c r="V116" i="4"/>
  <c r="U211" i="4"/>
  <c r="M246" i="4"/>
  <c r="V250" i="4"/>
  <c r="U251" i="4" s="1"/>
  <c r="T251" i="4"/>
  <c r="V211" i="4"/>
  <c r="N246" i="4"/>
  <c r="X245" i="4"/>
  <c r="X246" i="4" s="1"/>
  <c r="W211" i="4"/>
  <c r="X211" i="4"/>
  <c r="O246" i="4"/>
  <c r="P246" i="4"/>
  <c r="Q246" i="4"/>
  <c r="R246" i="4"/>
  <c r="S246" i="4"/>
  <c r="T246" i="4"/>
  <c r="U246" i="4"/>
  <c r="X244" i="4"/>
  <c r="V246" i="4"/>
  <c r="W130" i="4"/>
  <c r="V131" i="4" s="1"/>
  <c r="U125" i="4"/>
  <c r="V125" i="4" s="1"/>
  <c r="R241" i="4"/>
  <c r="T126" i="4"/>
  <c r="C163" i="6"/>
  <c r="S191" i="4"/>
  <c r="O21" i="6"/>
  <c r="C167" i="6"/>
  <c r="C166" i="6"/>
  <c r="D161" i="6"/>
  <c r="E161" i="6" s="1"/>
  <c r="D158" i="6"/>
  <c r="E158" i="6" s="1"/>
  <c r="D162" i="6"/>
  <c r="E162" i="6" s="1"/>
  <c r="D160" i="6"/>
  <c r="E160" i="6" s="1"/>
  <c r="D159" i="6"/>
  <c r="E159" i="6" s="1"/>
  <c r="D166" i="6"/>
  <c r="E166" i="6" s="1"/>
  <c r="D167" i="6"/>
  <c r="E167" i="6" s="1"/>
  <c r="D163" i="6"/>
  <c r="E163" i="6" s="1"/>
  <c r="D165" i="6"/>
  <c r="E165" i="6" s="1"/>
  <c r="D164" i="6"/>
  <c r="E164" i="6" s="1"/>
  <c r="C165" i="6"/>
  <c r="O22" i="6"/>
  <c r="M22" i="6"/>
  <c r="C164" i="6"/>
  <c r="S206" i="4"/>
  <c r="R206" i="4"/>
  <c r="T206" i="4"/>
  <c r="U206" i="4"/>
  <c r="X205" i="4"/>
  <c r="W206" i="4" s="1"/>
  <c r="V206" i="4"/>
  <c r="X100" i="4"/>
  <c r="L105" i="4"/>
  <c r="C105" i="4"/>
  <c r="G105" i="4"/>
  <c r="K105" i="4"/>
  <c r="O105" i="4"/>
  <c r="S100" i="4"/>
  <c r="U100" i="4"/>
  <c r="H100" i="4"/>
  <c r="Q100" i="4"/>
  <c r="Q105" i="4"/>
  <c r="C128" i="6" l="1"/>
  <c r="C129" i="6" s="1"/>
  <c r="K26" i="7"/>
  <c r="D34" i="6"/>
  <c r="F25" i="7"/>
  <c r="C35" i="6"/>
  <c r="E45" i="7"/>
  <c r="B143" i="6"/>
  <c r="J97" i="7"/>
  <c r="C133" i="6"/>
  <c r="E188" i="6"/>
  <c r="E192" i="6"/>
  <c r="C184" i="6"/>
  <c r="C197" i="6"/>
  <c r="B197" i="6" s="1"/>
  <c r="C198" i="6"/>
  <c r="B189" i="6"/>
  <c r="E127" i="7"/>
  <c r="H69" i="7"/>
  <c r="E8" i="7"/>
  <c r="C148" i="6"/>
  <c r="V165" i="4"/>
  <c r="U166" i="4" s="1"/>
  <c r="J90" i="4"/>
  <c r="W90" i="4"/>
  <c r="D178" i="4"/>
  <c r="F178" i="4" s="1"/>
  <c r="D168" i="4"/>
  <c r="F168" i="4" s="1"/>
  <c r="D158" i="4"/>
  <c r="F158" i="4" s="1"/>
  <c r="D143" i="4"/>
  <c r="F143" i="4" s="1"/>
  <c r="P90" i="4"/>
  <c r="H90" i="4"/>
  <c r="J82" i="4"/>
  <c r="Q85" i="4"/>
  <c r="I85" i="4"/>
  <c r="T234" i="4"/>
  <c r="U234" i="4" s="1"/>
  <c r="V234" i="4" s="1"/>
  <c r="W234" i="4" s="1"/>
  <c r="L100" i="4"/>
  <c r="R105" i="4"/>
  <c r="L4" i="3"/>
  <c r="B79" i="8"/>
  <c r="M194" i="4"/>
  <c r="V100" i="4"/>
  <c r="E105" i="4"/>
  <c r="S105" i="4"/>
  <c r="D279" i="4"/>
  <c r="F279" i="4" s="1"/>
  <c r="U90" i="4"/>
  <c r="E90" i="4"/>
  <c r="G100" i="4"/>
  <c r="P100" i="4"/>
  <c r="T105" i="4"/>
  <c r="B77" i="8"/>
  <c r="D274" i="4"/>
  <c r="F274" i="4" s="1"/>
  <c r="D258" i="4"/>
  <c r="F258" i="4" s="1"/>
  <c r="D218" i="4"/>
  <c r="F218" i="4" s="1"/>
  <c r="M90" i="4"/>
  <c r="C182" i="6"/>
  <c r="R216" i="4"/>
  <c r="M20" i="6"/>
  <c r="B100" i="4"/>
  <c r="J100" i="4"/>
  <c r="C136" i="6"/>
  <c r="C90" i="4"/>
  <c r="S85" i="4"/>
  <c r="K85" i="4"/>
  <c r="D67" i="4"/>
  <c r="F67" i="4" s="1"/>
  <c r="D61" i="4"/>
  <c r="F61" i="4" s="1"/>
  <c r="D46" i="4"/>
  <c r="F46" i="4" s="1"/>
  <c r="D41" i="4"/>
  <c r="F41" i="4" s="1"/>
  <c r="D26" i="4"/>
  <c r="F26" i="4" s="1"/>
  <c r="R100" i="4"/>
  <c r="E185" i="6"/>
  <c r="W116" i="4"/>
  <c r="D113" i="4" s="1"/>
  <c r="F113" i="4" s="1"/>
  <c r="X116" i="4"/>
  <c r="X120" i="4"/>
  <c r="V121" i="4"/>
  <c r="U239" i="4"/>
  <c r="V239" i="4" s="1"/>
  <c r="W239" i="4" s="1"/>
  <c r="X239" i="4" s="1"/>
  <c r="S241" i="4"/>
  <c r="U126" i="4"/>
  <c r="W125" i="4"/>
  <c r="S216" i="4"/>
  <c r="U215" i="4"/>
  <c r="T216" i="4" s="1"/>
  <c r="D309" i="4"/>
  <c r="F309" i="4" s="1"/>
  <c r="D299" i="4"/>
  <c r="F299" i="4" s="1"/>
  <c r="D294" i="4"/>
  <c r="F294" i="4" s="1"/>
  <c r="D208" i="4"/>
  <c r="F208" i="4" s="1"/>
  <c r="B90" i="4"/>
  <c r="W165" i="4"/>
  <c r="U121" i="4"/>
  <c r="U110" i="4"/>
  <c r="J97" i="4"/>
  <c r="F100" i="4"/>
  <c r="N100" i="4"/>
  <c r="T100" i="4"/>
  <c r="V105" i="4"/>
  <c r="T241" i="4"/>
  <c r="C100" i="4"/>
  <c r="W100" i="4"/>
  <c r="H105" i="4"/>
  <c r="U105" i="4"/>
  <c r="D126" i="6"/>
  <c r="W250" i="4"/>
  <c r="X250" i="4" s="1"/>
  <c r="X251" i="4" s="1"/>
  <c r="D289" i="4"/>
  <c r="F289" i="4" s="1"/>
  <c r="X130" i="4"/>
  <c r="W246" i="4"/>
  <c r="D243" i="4" s="1"/>
  <c r="F243" i="4" s="1"/>
  <c r="C85" i="4"/>
  <c r="B199" i="6"/>
  <c r="D100" i="4"/>
  <c r="J102" i="4"/>
  <c r="F105" i="4"/>
  <c r="M105" i="4"/>
  <c r="E186" i="6"/>
  <c r="E187" i="6"/>
  <c r="J24" i="7"/>
  <c r="D304" i="4"/>
  <c r="F304" i="4" s="1"/>
  <c r="U200" i="4"/>
  <c r="S201" i="4"/>
  <c r="T191" i="4"/>
  <c r="V190" i="4"/>
  <c r="T226" i="4"/>
  <c r="V225" i="4"/>
  <c r="X255" i="4"/>
  <c r="V256" i="4"/>
  <c r="X240" i="4"/>
  <c r="W251" i="4"/>
  <c r="U235" i="4"/>
  <c r="K100" i="4"/>
  <c r="M100" i="4"/>
  <c r="O100" i="4"/>
  <c r="D105" i="4"/>
  <c r="W105" i="4"/>
  <c r="I100" i="4"/>
  <c r="X206" i="4"/>
  <c r="D203" i="4" s="1"/>
  <c r="F203" i="4" s="1"/>
  <c r="V215" i="4"/>
  <c r="B2" i="4"/>
  <c r="M24" i="6"/>
  <c r="K24" i="7"/>
  <c r="F94" i="7"/>
  <c r="M23" i="6"/>
  <c r="B57" i="8"/>
  <c r="C57" i="8" s="1"/>
  <c r="C14" i="1"/>
  <c r="H51" i="7" s="1"/>
  <c r="B59" i="8"/>
  <c r="C59" i="8" s="1"/>
  <c r="D178" i="6"/>
  <c r="E178" i="6" s="1"/>
  <c r="C34" i="6"/>
  <c r="E56" i="7" s="1"/>
  <c r="B61" i="8"/>
  <c r="C61" i="8" s="1"/>
  <c r="E40" i="7"/>
  <c r="O23" i="6"/>
  <c r="O24" i="6"/>
  <c r="B53" i="8"/>
  <c r="C53" i="8" s="1"/>
  <c r="B63" i="8"/>
  <c r="C63" i="8" s="1"/>
  <c r="B67" i="8"/>
  <c r="C67" i="8" s="1"/>
  <c r="B62" i="8"/>
  <c r="C62" i="8" s="1"/>
  <c r="B65" i="8"/>
  <c r="C65" i="8" s="1"/>
  <c r="H27" i="6"/>
  <c r="H45" i="7" s="1"/>
  <c r="C15" i="8"/>
  <c r="B66" i="8"/>
  <c r="C66" i="8" s="1"/>
  <c r="B54" i="8"/>
  <c r="C54" i="8" s="1"/>
  <c r="B56" i="8"/>
  <c r="C56" i="8" s="1"/>
  <c r="B60" i="8"/>
  <c r="C60" i="8" s="1"/>
  <c r="O18" i="6"/>
  <c r="B52" i="8"/>
  <c r="C52" i="8" s="1"/>
  <c r="D26" i="7"/>
  <c r="B51" i="8"/>
  <c r="C51" i="8" s="1"/>
  <c r="B58" i="8"/>
  <c r="C58" i="8" s="1"/>
  <c r="B64" i="8"/>
  <c r="C64" i="8" s="1"/>
  <c r="B50" i="8"/>
  <c r="C50" i="8" s="1"/>
  <c r="B55" i="8"/>
  <c r="C55" i="8" s="1"/>
  <c r="T14" i="6"/>
  <c r="C173" i="6"/>
  <c r="C172" i="6"/>
  <c r="C195" i="6"/>
  <c r="A317" i="4" a="1"/>
  <c r="A341" i="4" s="1"/>
  <c r="D148" i="4"/>
  <c r="F148" i="4" s="1"/>
  <c r="H27" i="1"/>
  <c r="H67" i="7"/>
  <c r="H17" i="7"/>
  <c r="B106" i="1"/>
  <c r="E24" i="1"/>
  <c r="B108" i="1"/>
  <c r="H46" i="1"/>
  <c r="B157" i="1"/>
  <c r="B131" i="1"/>
  <c r="G4" i="3"/>
  <c r="C139" i="6"/>
  <c r="C134" i="6"/>
  <c r="C143" i="6"/>
  <c r="C146" i="6"/>
  <c r="AD4" i="3"/>
  <c r="E190" i="6"/>
  <c r="D30" i="1"/>
  <c r="I68" i="7" s="1"/>
  <c r="AE4" i="3"/>
  <c r="T19" i="6"/>
  <c r="C142" i="6"/>
  <c r="C141" i="6"/>
  <c r="C145" i="6"/>
  <c r="I71" i="7"/>
  <c r="B75" i="8"/>
  <c r="C196" i="6"/>
  <c r="B196" i="6" s="1"/>
  <c r="C147" i="6"/>
  <c r="E42" i="7"/>
  <c r="E193" i="6"/>
  <c r="E189" i="6"/>
  <c r="C183" i="6"/>
  <c r="J90" i="7"/>
  <c r="F118" i="7" s="1"/>
  <c r="C132" i="6"/>
  <c r="F27" i="7"/>
  <c r="C137" i="6"/>
  <c r="C135" i="6"/>
  <c r="C138" i="6"/>
  <c r="E33" i="6"/>
  <c r="C144" i="6"/>
  <c r="T17" i="6"/>
  <c r="E14" i="7"/>
  <c r="B201" i="6"/>
  <c r="C201" i="6" s="1"/>
  <c r="B186" i="6"/>
  <c r="B200" i="6"/>
  <c r="C200" i="6" s="1"/>
  <c r="E183" i="6"/>
  <c r="B187" i="6"/>
  <c r="E184" i="6"/>
  <c r="B202" i="6"/>
  <c r="D3" i="4"/>
  <c r="U241" i="4" l="1"/>
  <c r="S236" i="4"/>
  <c r="D82" i="4"/>
  <c r="F82" i="4" s="1"/>
  <c r="N194" i="4"/>
  <c r="L196" i="4"/>
  <c r="D97" i="4"/>
  <c r="F97" i="4" s="1"/>
  <c r="V241" i="4"/>
  <c r="D87" i="4"/>
  <c r="F87" i="4" s="1"/>
  <c r="V166" i="4"/>
  <c r="X165" i="4"/>
  <c r="V126" i="4"/>
  <c r="X125" i="4"/>
  <c r="V251" i="4"/>
  <c r="D248" i="4" s="1"/>
  <c r="F248" i="4" s="1"/>
  <c r="X131" i="4"/>
  <c r="W131" i="4"/>
  <c r="D128" i="4" s="1"/>
  <c r="V110" i="4"/>
  <c r="T111" i="4"/>
  <c r="D102" i="4"/>
  <c r="F102" i="4" s="1"/>
  <c r="E126" i="6"/>
  <c r="D127" i="6"/>
  <c r="W121" i="4"/>
  <c r="X121" i="4"/>
  <c r="W225" i="4"/>
  <c r="U226" i="4"/>
  <c r="X256" i="4"/>
  <c r="W256" i="4"/>
  <c r="D253" i="4" s="1"/>
  <c r="T201" i="4"/>
  <c r="V200" i="4"/>
  <c r="W215" i="4"/>
  <c r="U216" i="4"/>
  <c r="T236" i="4"/>
  <c r="V235" i="4"/>
  <c r="X241" i="4"/>
  <c r="W241" i="4"/>
  <c r="U191" i="4"/>
  <c r="W190" i="4"/>
  <c r="D157" i="6"/>
  <c r="D137" i="6"/>
  <c r="W4" i="3"/>
  <c r="D139" i="6"/>
  <c r="D133" i="6"/>
  <c r="E133" i="6" s="1"/>
  <c r="D156" i="6"/>
  <c r="D135" i="6"/>
  <c r="E135" i="6" s="1"/>
  <c r="E52" i="7"/>
  <c r="D140" i="6"/>
  <c r="E30" i="6"/>
  <c r="E28" i="6" s="1"/>
  <c r="E34" i="6"/>
  <c r="D138" i="6"/>
  <c r="D145" i="6"/>
  <c r="D148" i="6"/>
  <c r="D143" i="6"/>
  <c r="D141" i="6"/>
  <c r="D134" i="6"/>
  <c r="E134" i="6" s="1"/>
  <c r="O20" i="6"/>
  <c r="I28" i="6" s="1"/>
  <c r="D136" i="6"/>
  <c r="E136" i="6" s="1"/>
  <c r="D147" i="6"/>
  <c r="E57" i="7"/>
  <c r="D142" i="6"/>
  <c r="D155" i="6"/>
  <c r="D132" i="6"/>
  <c r="E132" i="6" s="1"/>
  <c r="C168" i="6"/>
  <c r="C169" i="6" s="1"/>
  <c r="D168" i="6"/>
  <c r="D169" i="6" s="1"/>
  <c r="D144" i="6"/>
  <c r="E53" i="7"/>
  <c r="D146" i="6"/>
  <c r="S27" i="6"/>
  <c r="H12" i="7"/>
  <c r="I16" i="7"/>
  <c r="K49" i="1"/>
  <c r="R27" i="1"/>
  <c r="A323" i="4"/>
  <c r="A330" i="4"/>
  <c r="A331" i="4"/>
  <c r="A343" i="4"/>
  <c r="A339" i="4"/>
  <c r="A327" i="4"/>
  <c r="A338" i="4"/>
  <c r="A320" i="4"/>
  <c r="A332" i="4"/>
  <c r="A337" i="4"/>
  <c r="A340" i="4"/>
  <c r="A318" i="4"/>
  <c r="A333" i="4"/>
  <c r="A328" i="4"/>
  <c r="A342" i="4"/>
  <c r="A325" i="4"/>
  <c r="A336" i="4"/>
  <c r="A317" i="4"/>
  <c r="A346" i="4"/>
  <c r="A322" i="4"/>
  <c r="A329" i="4"/>
  <c r="A321" i="4"/>
  <c r="A326" i="4"/>
  <c r="A345" i="4"/>
  <c r="A319" i="4"/>
  <c r="A324" i="4"/>
  <c r="A335" i="4"/>
  <c r="A344" i="4"/>
  <c r="A334" i="4"/>
  <c r="V4" i="4"/>
  <c r="I3" i="4"/>
  <c r="H4" i="4"/>
  <c r="P2" i="4"/>
  <c r="J3" i="4"/>
  <c r="S3" i="4"/>
  <c r="Z2" i="4"/>
  <c r="W4" i="4"/>
  <c r="X4" i="4"/>
  <c r="T4" i="4"/>
  <c r="O3" i="4"/>
  <c r="I4" i="4"/>
  <c r="J4" i="4"/>
  <c r="Q4" i="4"/>
  <c r="N4" i="4"/>
  <c r="C4" i="4"/>
  <c r="K3" i="4"/>
  <c r="M3" i="4"/>
  <c r="W3" i="4"/>
  <c r="Y3" i="4"/>
  <c r="L4" i="4"/>
  <c r="G4" i="4"/>
  <c r="Q3" i="4"/>
  <c r="K4" i="4"/>
  <c r="T3" i="4"/>
  <c r="F3" i="4"/>
  <c r="N3" i="4"/>
  <c r="U3" i="4"/>
  <c r="H3" i="4"/>
  <c r="B3" i="4"/>
  <c r="R4" i="4"/>
  <c r="J2" i="4"/>
  <c r="M4" i="4"/>
  <c r="O4" i="4"/>
  <c r="P4" i="4"/>
  <c r="G3" i="4"/>
  <c r="R2" i="4"/>
  <c r="F2" i="4"/>
  <c r="X2" i="4"/>
  <c r="V3" i="4"/>
  <c r="X3" i="4"/>
  <c r="H2" i="4"/>
  <c r="L2" i="4"/>
  <c r="E4" i="4"/>
  <c r="F4" i="4"/>
  <c r="C3" i="4"/>
  <c r="S4" i="4"/>
  <c r="D4" i="4"/>
  <c r="U4" i="4"/>
  <c r="P3" i="4"/>
  <c r="V2" i="4"/>
  <c r="N2" i="4"/>
  <c r="T2" i="4"/>
  <c r="D2" i="4"/>
  <c r="R3" i="4"/>
  <c r="Y4" i="4"/>
  <c r="L3" i="4"/>
  <c r="E3" i="4"/>
  <c r="B4" i="4"/>
  <c r="P14" i="6" l="1"/>
  <c r="N14" i="6" s="1"/>
  <c r="C210" i="6"/>
  <c r="C207" i="6"/>
  <c r="C206" i="6"/>
  <c r="C205" i="6"/>
  <c r="C209" i="6"/>
  <c r="C208" i="6"/>
  <c r="N13" i="6"/>
  <c r="N12" i="6"/>
  <c r="A5" i="3"/>
  <c r="B5" i="3" s="1"/>
  <c r="Z5" i="3" s="1"/>
  <c r="O194" i="4"/>
  <c r="M196" i="4"/>
  <c r="D238" i="4"/>
  <c r="F106" i="1"/>
  <c r="F105" i="1"/>
  <c r="F104" i="1"/>
  <c r="H18" i="7"/>
  <c r="F107" i="1"/>
  <c r="F103" i="1"/>
  <c r="E101" i="7"/>
  <c r="C171" i="6"/>
  <c r="C170" i="6"/>
  <c r="E49" i="7"/>
  <c r="E18" i="7"/>
  <c r="T13" i="6"/>
  <c r="T12" i="6"/>
  <c r="C174" i="6"/>
  <c r="M13" i="6"/>
  <c r="D171" i="6"/>
  <c r="B48" i="8"/>
  <c r="C48" i="8" s="1"/>
  <c r="D174" i="6"/>
  <c r="B43" i="8"/>
  <c r="C43" i="8" s="1"/>
  <c r="B49" i="8"/>
  <c r="C49" i="8" s="1"/>
  <c r="B41" i="8"/>
  <c r="C41" i="8" s="1"/>
  <c r="B42" i="8"/>
  <c r="C42" i="8" s="1"/>
  <c r="B44" i="8"/>
  <c r="C44" i="8" s="1"/>
  <c r="D172" i="6"/>
  <c r="D170" i="6"/>
  <c r="D173" i="6"/>
  <c r="B46" i="8"/>
  <c r="C46" i="8" s="1"/>
  <c r="B47" i="8"/>
  <c r="C47" i="8" s="1"/>
  <c r="B45" i="8"/>
  <c r="C45" i="8" s="1"/>
  <c r="M12" i="6"/>
  <c r="W166" i="4"/>
  <c r="D163" i="4" s="1"/>
  <c r="F163" i="4" s="1"/>
  <c r="X166" i="4"/>
  <c r="E127" i="6"/>
  <c r="D128" i="6"/>
  <c r="W110" i="4"/>
  <c r="U111" i="4"/>
  <c r="X126" i="4"/>
  <c r="W126" i="4"/>
  <c r="D123" i="4" s="1"/>
  <c r="D118" i="4"/>
  <c r="F118" i="4" s="1"/>
  <c r="W235" i="4"/>
  <c r="U236" i="4"/>
  <c r="W200" i="4"/>
  <c r="U201" i="4"/>
  <c r="X215" i="4"/>
  <c r="V216" i="4"/>
  <c r="V226" i="4"/>
  <c r="X225" i="4"/>
  <c r="X190" i="4"/>
  <c r="V191" i="4"/>
  <c r="I31" i="6"/>
  <c r="C154" i="6" s="1"/>
  <c r="O19" i="6"/>
  <c r="M19" i="6" s="1"/>
  <c r="H31" i="6" s="1"/>
  <c r="E29" i="6"/>
  <c r="E35" i="6" s="1"/>
  <c r="C191" i="6"/>
  <c r="D153" i="6"/>
  <c r="C192" i="6"/>
  <c r="D64" i="8" l="1"/>
  <c r="E64" i="8" s="1"/>
  <c r="H64" i="8" s="1"/>
  <c r="D41" i="8"/>
  <c r="E41" i="8" s="1"/>
  <c r="G41" i="8" s="1"/>
  <c r="D52" i="8"/>
  <c r="E52" i="8" s="1"/>
  <c r="H52" i="8" s="1"/>
  <c r="D60" i="8"/>
  <c r="F60" i="8" s="1"/>
  <c r="I60" i="8" s="1"/>
  <c r="D48" i="8"/>
  <c r="F48" i="8" s="1"/>
  <c r="I48" i="8" s="1"/>
  <c r="D49" i="8"/>
  <c r="E49" i="8" s="1"/>
  <c r="G49" i="8" s="1"/>
  <c r="D44" i="8"/>
  <c r="F44" i="8" s="1"/>
  <c r="I44" i="8" s="1"/>
  <c r="D51" i="8"/>
  <c r="E51" i="8" s="1"/>
  <c r="G51" i="8" s="1"/>
  <c r="D58" i="8"/>
  <c r="E58" i="8" s="1"/>
  <c r="G58" i="8" s="1"/>
  <c r="D67" i="8"/>
  <c r="F67" i="8" s="1"/>
  <c r="I67" i="8" s="1"/>
  <c r="D47" i="8"/>
  <c r="E47" i="8" s="1"/>
  <c r="G47" i="8" s="1"/>
  <c r="D54" i="8"/>
  <c r="F54" i="8" s="1"/>
  <c r="I54" i="8" s="1"/>
  <c r="D42" i="8"/>
  <c r="E42" i="8" s="1"/>
  <c r="G42" i="8" s="1"/>
  <c r="D59" i="8"/>
  <c r="F59" i="8" s="1"/>
  <c r="I59" i="8" s="1"/>
  <c r="D61" i="8"/>
  <c r="E61" i="8" s="1"/>
  <c r="G61" i="8" s="1"/>
  <c r="D62" i="8"/>
  <c r="E62" i="8" s="1"/>
  <c r="H62" i="8" s="1"/>
  <c r="D66" i="8"/>
  <c r="F66" i="8" s="1"/>
  <c r="I66" i="8" s="1"/>
  <c r="D43" i="8"/>
  <c r="E43" i="8" s="1"/>
  <c r="G43" i="8" s="1"/>
  <c r="D53" i="8"/>
  <c r="F53" i="8" s="1"/>
  <c r="I53" i="8" s="1"/>
  <c r="D45" i="8"/>
  <c r="E45" i="8" s="1"/>
  <c r="G45" i="8" s="1"/>
  <c r="D56" i="8"/>
  <c r="F56" i="8" s="1"/>
  <c r="I56" i="8" s="1"/>
  <c r="D46" i="8"/>
  <c r="F46" i="8" s="1"/>
  <c r="I46" i="8" s="1"/>
  <c r="D65" i="8"/>
  <c r="E65" i="8" s="1"/>
  <c r="H65" i="8" s="1"/>
  <c r="M14" i="6"/>
  <c r="C10" i="1" s="1"/>
  <c r="S4" i="3" s="1"/>
  <c r="T4" i="3" s="1"/>
  <c r="U4" i="3" s="1"/>
  <c r="D50" i="8"/>
  <c r="F50" i="8" s="1"/>
  <c r="I50" i="8" s="1"/>
  <c r="D55" i="8"/>
  <c r="E55" i="8" s="1"/>
  <c r="G55" i="8" s="1"/>
  <c r="D63" i="8"/>
  <c r="E63" i="8" s="1"/>
  <c r="H63" i="8" s="1"/>
  <c r="D57" i="8"/>
  <c r="E57" i="8" s="1"/>
  <c r="H57" i="8" s="1"/>
  <c r="E11" i="7"/>
  <c r="C10" i="8"/>
  <c r="H41" i="7"/>
  <c r="E107" i="7"/>
  <c r="H5" i="7"/>
  <c r="P15" i="6"/>
  <c r="I41" i="7"/>
  <c r="C24" i="1"/>
  <c r="C30" i="1" s="1"/>
  <c r="P27" i="1" s="1"/>
  <c r="C204" i="6"/>
  <c r="AC5" i="3"/>
  <c r="P5" i="3"/>
  <c r="Q5" i="3" s="1"/>
  <c r="R5" i="3" s="1"/>
  <c r="AA5" i="3"/>
  <c r="A6" i="3"/>
  <c r="B6" i="3" s="1"/>
  <c r="AC6" i="3" s="1"/>
  <c r="AD5" i="3"/>
  <c r="E110" i="7"/>
  <c r="N196" i="4"/>
  <c r="P194" i="4"/>
  <c r="V111" i="4"/>
  <c r="X110" i="4"/>
  <c r="E128" i="6"/>
  <c r="D129" i="6"/>
  <c r="X200" i="4"/>
  <c r="V201" i="4"/>
  <c r="W226" i="4"/>
  <c r="X226" i="4"/>
  <c r="X191" i="4"/>
  <c r="W191" i="4"/>
  <c r="W216" i="4"/>
  <c r="D213" i="4" s="1"/>
  <c r="F213" i="4" s="1"/>
  <c r="X216" i="4"/>
  <c r="V236" i="4"/>
  <c r="X235" i="4"/>
  <c r="H28" i="6"/>
  <c r="C190" i="6" s="1"/>
  <c r="C153" i="6"/>
  <c r="C157" i="6"/>
  <c r="C151" i="6"/>
  <c r="C152" i="6"/>
  <c r="F43" i="8" l="1"/>
  <c r="I43" i="8" s="1"/>
  <c r="F58" i="8"/>
  <c r="I58" i="8" s="1"/>
  <c r="F47" i="8"/>
  <c r="I47" i="8" s="1"/>
  <c r="F64" i="8"/>
  <c r="I64" i="8" s="1"/>
  <c r="G64" i="8"/>
  <c r="J64" i="8" s="1"/>
  <c r="H58" i="8"/>
  <c r="K58" i="8" s="1"/>
  <c r="F41" i="8"/>
  <c r="I41" i="8" s="1"/>
  <c r="H41" i="8"/>
  <c r="J41" i="8" s="1"/>
  <c r="H47" i="8"/>
  <c r="J47" i="8" s="1"/>
  <c r="G52" i="8"/>
  <c r="K52" i="8" s="1"/>
  <c r="F52" i="8"/>
  <c r="I52" i="8" s="1"/>
  <c r="E67" i="8"/>
  <c r="H67" i="8" s="1"/>
  <c r="H43" i="8"/>
  <c r="J43" i="8" s="1"/>
  <c r="F45" i="8"/>
  <c r="I45" i="8" s="1"/>
  <c r="F57" i="8"/>
  <c r="I57" i="8" s="1"/>
  <c r="E66" i="8"/>
  <c r="H66" i="8" s="1"/>
  <c r="H45" i="8"/>
  <c r="J45" i="8" s="1"/>
  <c r="H49" i="8"/>
  <c r="J49" i="8" s="1"/>
  <c r="G57" i="8"/>
  <c r="K57" i="8" s="1"/>
  <c r="E56" i="8"/>
  <c r="G56" i="8" s="1"/>
  <c r="E54" i="8"/>
  <c r="H54" i="8" s="1"/>
  <c r="E60" i="8"/>
  <c r="H60" i="8" s="1"/>
  <c r="H42" i="8"/>
  <c r="J42" i="8" s="1"/>
  <c r="H61" i="8"/>
  <c r="K61" i="8" s="1"/>
  <c r="E46" i="8"/>
  <c r="G46" i="8" s="1"/>
  <c r="F49" i="8"/>
  <c r="I49" i="8" s="1"/>
  <c r="E48" i="8"/>
  <c r="G48" i="8" s="1"/>
  <c r="F42" i="8"/>
  <c r="I42" i="8" s="1"/>
  <c r="F61" i="8"/>
  <c r="I61" i="8" s="1"/>
  <c r="F62" i="8"/>
  <c r="I62" i="8" s="1"/>
  <c r="G65" i="8"/>
  <c r="K65" i="8" s="1"/>
  <c r="E44" i="8"/>
  <c r="G44" i="8" s="1"/>
  <c r="F51" i="8"/>
  <c r="I51" i="8" s="1"/>
  <c r="H51" i="8"/>
  <c r="J51" i="8" s="1"/>
  <c r="C11" i="8"/>
  <c r="G62" i="8"/>
  <c r="J62" i="8" s="1"/>
  <c r="E59" i="8"/>
  <c r="G59" i="8" s="1"/>
  <c r="M15" i="6"/>
  <c r="J42" i="7" s="1"/>
  <c r="E53" i="8"/>
  <c r="H53" i="8" s="1"/>
  <c r="F65" i="8"/>
  <c r="I65" i="8" s="1"/>
  <c r="E50" i="8"/>
  <c r="H50" i="8" s="1"/>
  <c r="F107" i="7"/>
  <c r="S5" i="3"/>
  <c r="T5" i="3" s="1"/>
  <c r="E5" i="3" s="1"/>
  <c r="H5" i="3" s="1"/>
  <c r="F55" i="8"/>
  <c r="I55" i="8" s="1"/>
  <c r="J41" i="7"/>
  <c r="F63" i="8"/>
  <c r="I63" i="8" s="1"/>
  <c r="G63" i="8"/>
  <c r="J63" i="8" s="1"/>
  <c r="E58" i="7"/>
  <c r="H65" i="7" s="1"/>
  <c r="H55" i="8"/>
  <c r="K55" i="8" s="1"/>
  <c r="H42" i="7"/>
  <c r="D23" i="7"/>
  <c r="E108" i="7"/>
  <c r="N15" i="6"/>
  <c r="P28" i="1"/>
  <c r="K47" i="1"/>
  <c r="H16" i="7"/>
  <c r="C194" i="6"/>
  <c r="H46" i="7"/>
  <c r="H13" i="7"/>
  <c r="D152" i="6"/>
  <c r="H68" i="7"/>
  <c r="H71" i="7"/>
  <c r="P6" i="3"/>
  <c r="Q6" i="3" s="1"/>
  <c r="R6" i="3" s="1"/>
  <c r="A7" i="3"/>
  <c r="B7" i="3" s="1"/>
  <c r="AD7" i="3" s="1"/>
  <c r="Z6" i="3"/>
  <c r="AA6" i="3"/>
  <c r="Q194" i="4"/>
  <c r="O196" i="4"/>
  <c r="AD6" i="3"/>
  <c r="D223" i="4"/>
  <c r="F223" i="4" s="1"/>
  <c r="X111" i="4"/>
  <c r="W111" i="4"/>
  <c r="D108" i="4" s="1"/>
  <c r="D188" i="4"/>
  <c r="F188" i="4" s="1"/>
  <c r="D130" i="6"/>
  <c r="E130" i="6" s="1"/>
  <c r="E129" i="6"/>
  <c r="S28" i="6"/>
  <c r="C193" i="6"/>
  <c r="X236" i="4"/>
  <c r="W236" i="4"/>
  <c r="W201" i="4"/>
  <c r="X201" i="4"/>
  <c r="M58" i="8" l="1"/>
  <c r="K64" i="8"/>
  <c r="L64" i="8" s="1"/>
  <c r="J58" i="8"/>
  <c r="L58" i="8" s="1"/>
  <c r="K41" i="8"/>
  <c r="M41" i="8" s="1"/>
  <c r="J52" i="8"/>
  <c r="L52" i="8" s="1"/>
  <c r="K47" i="8"/>
  <c r="M47" i="8" s="1"/>
  <c r="M52" i="8"/>
  <c r="G67" i="8"/>
  <c r="J67" i="8" s="1"/>
  <c r="K43" i="8"/>
  <c r="M43" i="8" s="1"/>
  <c r="M57" i="8"/>
  <c r="C155" i="6"/>
  <c r="C156" i="6" s="1"/>
  <c r="H46" i="8"/>
  <c r="J46" i="8" s="1"/>
  <c r="K51" i="8"/>
  <c r="L51" i="8" s="1"/>
  <c r="G66" i="8"/>
  <c r="J66" i="8" s="1"/>
  <c r="K45" i="8"/>
  <c r="M45" i="8" s="1"/>
  <c r="S6" i="3"/>
  <c r="T6" i="3" s="1"/>
  <c r="K49" i="8"/>
  <c r="M49" i="8" s="1"/>
  <c r="J57" i="8"/>
  <c r="L57" i="8" s="1"/>
  <c r="H56" i="8"/>
  <c r="J56" i="8" s="1"/>
  <c r="G60" i="8"/>
  <c r="J60" i="8" s="1"/>
  <c r="C149" i="6"/>
  <c r="H44" i="8"/>
  <c r="J44" i="8" s="1"/>
  <c r="J65" i="8"/>
  <c r="L65" i="8" s="1"/>
  <c r="K62" i="8"/>
  <c r="L62" i="8" s="1"/>
  <c r="G53" i="8"/>
  <c r="K53" i="8" s="1"/>
  <c r="M53" i="8" s="1"/>
  <c r="G54" i="8"/>
  <c r="J54" i="8" s="1"/>
  <c r="M61" i="8"/>
  <c r="K42" i="8"/>
  <c r="M42" i="8" s="1"/>
  <c r="J61" i="8"/>
  <c r="L61" i="8" s="1"/>
  <c r="M65" i="8"/>
  <c r="D5" i="3"/>
  <c r="F5" i="3" s="1"/>
  <c r="G50" i="8"/>
  <c r="J50" i="8" s="1"/>
  <c r="H48" i="8"/>
  <c r="J48" i="8" s="1"/>
  <c r="AH5" i="3"/>
  <c r="AG5" i="3"/>
  <c r="H59" i="8"/>
  <c r="J59" i="8" s="1"/>
  <c r="F108" i="7"/>
  <c r="H32" i="6"/>
  <c r="H29" i="6"/>
  <c r="H47" i="7" s="1"/>
  <c r="B191" i="6"/>
  <c r="M55" i="8"/>
  <c r="K63" i="8"/>
  <c r="M63" i="8" s="1"/>
  <c r="J55" i="8"/>
  <c r="L55" i="8" s="1"/>
  <c r="C150" i="6"/>
  <c r="B193" i="6"/>
  <c r="I32" i="6"/>
  <c r="B192" i="6"/>
  <c r="I42" i="7"/>
  <c r="I29" i="6"/>
  <c r="A8" i="3"/>
  <c r="B8" i="3" s="1"/>
  <c r="AC8" i="3" s="1"/>
  <c r="Z7" i="3"/>
  <c r="P7" i="3"/>
  <c r="Q7" i="3" s="1"/>
  <c r="R7" i="3" s="1"/>
  <c r="AC7" i="3"/>
  <c r="AA7" i="3"/>
  <c r="D198" i="4"/>
  <c r="F198" i="4" s="1"/>
  <c r="R194" i="4"/>
  <c r="P196" i="4"/>
  <c r="F108" i="4"/>
  <c r="D233" i="4"/>
  <c r="F233" i="4" s="1"/>
  <c r="K5" i="3"/>
  <c r="M64" i="8" l="1"/>
  <c r="L41" i="8"/>
  <c r="K46" i="8"/>
  <c r="M46" i="8" s="1"/>
  <c r="L47" i="8"/>
  <c r="K67" i="8"/>
  <c r="M67" i="8" s="1"/>
  <c r="L43" i="8"/>
  <c r="M51" i="8"/>
  <c r="K66" i="8"/>
  <c r="M66" i="8" s="1"/>
  <c r="L45" i="8"/>
  <c r="L49" i="8"/>
  <c r="M62" i="8"/>
  <c r="S7" i="3"/>
  <c r="T7" i="3" s="1"/>
  <c r="H30" i="6"/>
  <c r="H48" i="7" s="1"/>
  <c r="K54" i="8"/>
  <c r="M54" i="8" s="1"/>
  <c r="K56" i="8"/>
  <c r="M56" i="8" s="1"/>
  <c r="K60" i="8"/>
  <c r="M60" i="8" s="1"/>
  <c r="J53" i="8"/>
  <c r="L53" i="8" s="1"/>
  <c r="K50" i="8"/>
  <c r="M50" i="8" s="1"/>
  <c r="K44" i="8"/>
  <c r="M44" i="8" s="1"/>
  <c r="L63" i="8"/>
  <c r="G5" i="3"/>
  <c r="I5" i="3" s="1"/>
  <c r="K48" i="8"/>
  <c r="L48" i="8" s="1"/>
  <c r="S29" i="6"/>
  <c r="L42" i="8"/>
  <c r="K59" i="8"/>
  <c r="M59" i="8" s="1"/>
  <c r="B194" i="6"/>
  <c r="B190" i="6"/>
  <c r="H14" i="7"/>
  <c r="I14" i="7"/>
  <c r="I30" i="6"/>
  <c r="I47" i="7"/>
  <c r="P8" i="3"/>
  <c r="Q8" i="3" s="1"/>
  <c r="R8" i="3" s="1"/>
  <c r="AD8" i="3"/>
  <c r="AA8" i="3"/>
  <c r="Z8" i="3"/>
  <c r="A9" i="3"/>
  <c r="B9" i="3" s="1"/>
  <c r="AD9" i="3" s="1"/>
  <c r="S194" i="4"/>
  <c r="Q196" i="4"/>
  <c r="V5" i="3"/>
  <c r="AE5" i="3"/>
  <c r="L46" i="8" l="1"/>
  <c r="L67" i="8"/>
  <c r="L66" i="8"/>
  <c r="S8" i="3"/>
  <c r="T8" i="3" s="1"/>
  <c r="H15" i="7"/>
  <c r="H33" i="6"/>
  <c r="L54" i="8"/>
  <c r="L56" i="8"/>
  <c r="L60" i="8"/>
  <c r="L50" i="8"/>
  <c r="L59" i="8"/>
  <c r="J5" i="3"/>
  <c r="L5" i="3" s="1"/>
  <c r="M5" i="3"/>
  <c r="N5" i="3" s="1"/>
  <c r="M48" i="8"/>
  <c r="L44" i="8"/>
  <c r="I48" i="7"/>
  <c r="I15" i="7"/>
  <c r="S30" i="6"/>
  <c r="A10" i="3"/>
  <c r="B10" i="3" s="1"/>
  <c r="P10" i="3" s="1"/>
  <c r="Q10" i="3" s="1"/>
  <c r="R10" i="3" s="1"/>
  <c r="AC9" i="3"/>
  <c r="P9" i="3"/>
  <c r="Q9" i="3" s="1"/>
  <c r="R9" i="3" s="1"/>
  <c r="Z9" i="3"/>
  <c r="AA9" i="3"/>
  <c r="T194" i="4"/>
  <c r="R196" i="4"/>
  <c r="W5" i="3"/>
  <c r="S9" i="3" l="1"/>
  <c r="T9" i="3" s="1"/>
  <c r="AA10" i="3"/>
  <c r="AC10" i="3"/>
  <c r="AD10" i="3"/>
  <c r="Z10" i="3"/>
  <c r="A11" i="3"/>
  <c r="B11" i="3" s="1"/>
  <c r="AC11" i="3" s="1"/>
  <c r="U194" i="4"/>
  <c r="S196" i="4"/>
  <c r="U5" i="3"/>
  <c r="D6" i="3" s="1"/>
  <c r="AG6" i="3"/>
  <c r="AH6" i="3"/>
  <c r="S10" i="3" l="1"/>
  <c r="T10" i="3" s="1"/>
  <c r="AA11" i="3"/>
  <c r="P11" i="3"/>
  <c r="Q11" i="3" s="1"/>
  <c r="R11" i="3" s="1"/>
  <c r="S11" i="3" s="1"/>
  <c r="T11" i="3" s="1"/>
  <c r="Z11" i="3"/>
  <c r="A12" i="3"/>
  <c r="B12" i="3" s="1"/>
  <c r="Z12" i="3" s="1"/>
  <c r="AD11" i="3"/>
  <c r="T196" i="4"/>
  <c r="V194" i="4"/>
  <c r="E6" i="3"/>
  <c r="H6" i="3" s="1"/>
  <c r="K6" i="3" s="1"/>
  <c r="G6" i="3"/>
  <c r="AA12" i="3" l="1"/>
  <c r="AC12" i="3"/>
  <c r="A13" i="3"/>
  <c r="B13" i="3" s="1"/>
  <c r="A14" i="3" s="1"/>
  <c r="B14" i="3" s="1"/>
  <c r="A15" i="3" s="1"/>
  <c r="B15" i="3" s="1"/>
  <c r="P12" i="3"/>
  <c r="Q12" i="3" s="1"/>
  <c r="R12" i="3" s="1"/>
  <c r="S12" i="3" s="1"/>
  <c r="T12" i="3" s="1"/>
  <c r="AD12" i="3"/>
  <c r="U196" i="4"/>
  <c r="W194" i="4"/>
  <c r="F6" i="3"/>
  <c r="I6" i="3"/>
  <c r="J6" i="3"/>
  <c r="M6" i="3"/>
  <c r="N6" i="3" s="1"/>
  <c r="V6" i="3"/>
  <c r="AE6" i="3"/>
  <c r="P13" i="3" l="1"/>
  <c r="Q13" i="3" s="1"/>
  <c r="R13" i="3" s="1"/>
  <c r="S13" i="3" s="1"/>
  <c r="T13" i="3" s="1"/>
  <c r="AD13" i="3"/>
  <c r="AA14" i="3"/>
  <c r="AA13" i="3"/>
  <c r="AC14" i="3"/>
  <c r="Z14" i="3"/>
  <c r="Z13" i="3"/>
  <c r="AD14" i="3"/>
  <c r="P14" i="3"/>
  <c r="Q14" i="3" s="1"/>
  <c r="R14" i="3" s="1"/>
  <c r="AC13" i="3"/>
  <c r="V196" i="4"/>
  <c r="D193" i="4" s="1"/>
  <c r="W196" i="4"/>
  <c r="W6" i="3"/>
  <c r="AA15" i="3"/>
  <c r="P15" i="3"/>
  <c r="Q15" i="3" s="1"/>
  <c r="R15" i="3" s="1"/>
  <c r="AC15" i="3"/>
  <c r="Z15" i="3"/>
  <c r="AD15" i="3"/>
  <c r="A16" i="3"/>
  <c r="B16" i="3" s="1"/>
  <c r="L6" i="3"/>
  <c r="S14" i="3" l="1"/>
  <c r="S15" i="3" s="1"/>
  <c r="F193" i="4"/>
  <c r="M36" i="6"/>
  <c r="N34" i="1"/>
  <c r="AA16" i="3"/>
  <c r="AD16" i="3"/>
  <c r="AC16" i="3"/>
  <c r="P16" i="3"/>
  <c r="Q16" i="3" s="1"/>
  <c r="R16" i="3" s="1"/>
  <c r="Z16" i="3"/>
  <c r="A17" i="3"/>
  <c r="B17" i="3" s="1"/>
  <c r="AH7" i="3"/>
  <c r="AG7" i="3"/>
  <c r="U6" i="3"/>
  <c r="D7" i="3" s="1"/>
  <c r="Y5" i="3"/>
  <c r="T14" i="3" l="1"/>
  <c r="G7" i="3"/>
  <c r="P17" i="3"/>
  <c r="Q17" i="3" s="1"/>
  <c r="R17" i="3" s="1"/>
  <c r="A18" i="3"/>
  <c r="B18" i="3" s="1"/>
  <c r="AC17" i="3"/>
  <c r="Z17" i="3"/>
  <c r="AD17" i="3"/>
  <c r="AA17" i="3"/>
  <c r="T15" i="3"/>
  <c r="S16" i="3"/>
  <c r="E7" i="3"/>
  <c r="H7" i="3" s="1"/>
  <c r="AA18" i="3" l="1"/>
  <c r="P18" i="3"/>
  <c r="Q18" i="3" s="1"/>
  <c r="R18" i="3" s="1"/>
  <c r="AC18" i="3"/>
  <c r="A19" i="3"/>
  <c r="B19" i="3" s="1"/>
  <c r="AD18" i="3"/>
  <c r="Z18" i="3"/>
  <c r="F7" i="3"/>
  <c r="T16" i="3"/>
  <c r="S17" i="3"/>
  <c r="I7" i="3"/>
  <c r="J7" i="3"/>
  <c r="M7" i="3"/>
  <c r="N7" i="3" s="1"/>
  <c r="K7" i="3"/>
  <c r="P19" i="3" l="1"/>
  <c r="Q19" i="3" s="1"/>
  <c r="R19" i="3" s="1"/>
  <c r="A20" i="3"/>
  <c r="B20" i="3" s="1"/>
  <c r="Z19" i="3"/>
  <c r="AD19" i="3"/>
  <c r="AA19" i="3"/>
  <c r="AC19" i="3"/>
  <c r="L7" i="3"/>
  <c r="V7" i="3"/>
  <c r="W7" i="3" s="1"/>
  <c r="AE7" i="3"/>
  <c r="T17" i="3"/>
  <c r="S18" i="3"/>
  <c r="AH8" i="3" l="1"/>
  <c r="U7" i="3"/>
  <c r="D8" i="3" s="1"/>
  <c r="AG8" i="3"/>
  <c r="Y6" i="3"/>
  <c r="P20" i="3"/>
  <c r="Q20" i="3" s="1"/>
  <c r="R20" i="3" s="1"/>
  <c r="A21" i="3"/>
  <c r="B21" i="3" s="1"/>
  <c r="AA20" i="3"/>
  <c r="Z20" i="3"/>
  <c r="AD20" i="3"/>
  <c r="AC20" i="3"/>
  <c r="S19" i="3"/>
  <c r="T18" i="3"/>
  <c r="E8" i="3" l="1"/>
  <c r="H8" i="3" s="1"/>
  <c r="K8" i="3" s="1"/>
  <c r="AD21" i="3"/>
  <c r="P21" i="3"/>
  <c r="Q21" i="3" s="1"/>
  <c r="R21" i="3" s="1"/>
  <c r="AC21" i="3"/>
  <c r="AA21" i="3"/>
  <c r="Z21" i="3"/>
  <c r="A22" i="3"/>
  <c r="B22" i="3" s="1"/>
  <c r="G8" i="3"/>
  <c r="S20" i="3"/>
  <c r="T19" i="3"/>
  <c r="F8" i="3" l="1"/>
  <c r="AC22" i="3"/>
  <c r="A23" i="3"/>
  <c r="B23" i="3" s="1"/>
  <c r="AD22" i="3"/>
  <c r="AA22" i="3"/>
  <c r="Z22" i="3"/>
  <c r="P22" i="3"/>
  <c r="Q22" i="3" s="1"/>
  <c r="R22" i="3" s="1"/>
  <c r="I8" i="3"/>
  <c r="J8" i="3"/>
  <c r="M8" i="3"/>
  <c r="N8" i="3" s="1"/>
  <c r="V8" i="3"/>
  <c r="AE8" i="3"/>
  <c r="T20" i="3"/>
  <c r="S21" i="3"/>
  <c r="W8" i="3" l="1"/>
  <c r="A24" i="3"/>
  <c r="B24" i="3" s="1"/>
  <c r="Z23" i="3"/>
  <c r="AA23" i="3"/>
  <c r="AC23" i="3"/>
  <c r="AD23" i="3"/>
  <c r="P23" i="3"/>
  <c r="Q23" i="3" s="1"/>
  <c r="R23" i="3" s="1"/>
  <c r="T21" i="3"/>
  <c r="S22" i="3"/>
  <c r="L8" i="3"/>
  <c r="U8" i="3" l="1"/>
  <c r="D9" i="3" s="1"/>
  <c r="AH9" i="3"/>
  <c r="AG9" i="3"/>
  <c r="Y7" i="3"/>
  <c r="AA24" i="3"/>
  <c r="Z24" i="3"/>
  <c r="AC24" i="3"/>
  <c r="AD24" i="3"/>
  <c r="A25" i="3"/>
  <c r="B25" i="3" s="1"/>
  <c r="P24" i="3"/>
  <c r="Q24" i="3" s="1"/>
  <c r="R24" i="3" s="1"/>
  <c r="T22" i="3"/>
  <c r="S23" i="3"/>
  <c r="E9" i="3" l="1"/>
  <c r="H9" i="3" s="1"/>
  <c r="K9" i="3" s="1"/>
  <c r="P25" i="3"/>
  <c r="Q25" i="3" s="1"/>
  <c r="R25" i="3" s="1"/>
  <c r="Z25" i="3"/>
  <c r="A26" i="3"/>
  <c r="B26" i="3" s="1"/>
  <c r="AC25" i="3"/>
  <c r="AA25" i="3"/>
  <c r="AD25" i="3"/>
  <c r="S24" i="3"/>
  <c r="T23" i="3"/>
  <c r="G9" i="3"/>
  <c r="F9" i="3" l="1"/>
  <c r="AD26" i="3"/>
  <c r="P26" i="3"/>
  <c r="Q26" i="3" s="1"/>
  <c r="R26" i="3" s="1"/>
  <c r="A27" i="3"/>
  <c r="B27" i="3" s="1"/>
  <c r="AA26" i="3"/>
  <c r="Z26" i="3"/>
  <c r="AC26" i="3"/>
  <c r="S25" i="3"/>
  <c r="T24" i="3"/>
  <c r="V9" i="3"/>
  <c r="AE9" i="3"/>
  <c r="I9" i="3"/>
  <c r="J9" i="3"/>
  <c r="M9" i="3"/>
  <c r="N9" i="3" s="1"/>
  <c r="W9" i="3" l="1"/>
  <c r="P27" i="3"/>
  <c r="Q27" i="3" s="1"/>
  <c r="R27" i="3" s="1"/>
  <c r="Z27" i="3"/>
  <c r="AA27" i="3"/>
  <c r="AD27" i="3"/>
  <c r="A28" i="3"/>
  <c r="B28" i="3" s="1"/>
  <c r="AC27" i="3"/>
  <c r="S26" i="3"/>
  <c r="T25" i="3"/>
  <c r="L9" i="3"/>
  <c r="Z28" i="3" l="1"/>
  <c r="P28" i="3"/>
  <c r="Q28" i="3" s="1"/>
  <c r="R28" i="3" s="1"/>
  <c r="A29" i="3"/>
  <c r="B29" i="3" s="1"/>
  <c r="AA28" i="3"/>
  <c r="AC28" i="3"/>
  <c r="AD28" i="3"/>
  <c r="AH10" i="3"/>
  <c r="U9" i="3"/>
  <c r="E10" i="3" s="1"/>
  <c r="H10" i="3" s="1"/>
  <c r="AG10" i="3"/>
  <c r="Y8" i="3"/>
  <c r="T26" i="3"/>
  <c r="S27" i="3"/>
  <c r="K10" i="3" l="1"/>
  <c r="S28" i="3"/>
  <c r="T27" i="3"/>
  <c r="AC29" i="3"/>
  <c r="P29" i="3"/>
  <c r="Q29" i="3" s="1"/>
  <c r="R29" i="3" s="1"/>
  <c r="A30" i="3"/>
  <c r="B30" i="3" s="1"/>
  <c r="AD29" i="3"/>
  <c r="Z29" i="3"/>
  <c r="AA29" i="3"/>
  <c r="D10" i="3"/>
  <c r="Z30" i="3" l="1"/>
  <c r="P30" i="3"/>
  <c r="Q30" i="3" s="1"/>
  <c r="R30" i="3" s="1"/>
  <c r="AC30" i="3"/>
  <c r="AA30" i="3"/>
  <c r="AD30" i="3"/>
  <c r="A31" i="3"/>
  <c r="B31" i="3" s="1"/>
  <c r="F10" i="3"/>
  <c r="G10" i="3"/>
  <c r="V10" i="3"/>
  <c r="AE10" i="3"/>
  <c r="T28" i="3"/>
  <c r="S29" i="3"/>
  <c r="I10" i="3" l="1"/>
  <c r="W10" i="3" s="1"/>
  <c r="J10" i="3"/>
  <c r="M10" i="3"/>
  <c r="N10" i="3" s="1"/>
  <c r="AC31" i="3"/>
  <c r="A32" i="3"/>
  <c r="B32" i="3" s="1"/>
  <c r="Z31" i="3"/>
  <c r="P31" i="3"/>
  <c r="Q31" i="3" s="1"/>
  <c r="R31" i="3" s="1"/>
  <c r="AD31" i="3"/>
  <c r="AA31" i="3"/>
  <c r="S30" i="3"/>
  <c r="T29" i="3"/>
  <c r="A33" i="3" l="1"/>
  <c r="B33" i="3" s="1"/>
  <c r="Z32" i="3"/>
  <c r="P32" i="3"/>
  <c r="Q32" i="3" s="1"/>
  <c r="R32" i="3" s="1"/>
  <c r="AD32" i="3"/>
  <c r="AC32" i="3"/>
  <c r="AA32" i="3"/>
  <c r="L10" i="3"/>
  <c r="T30" i="3"/>
  <c r="S31" i="3"/>
  <c r="P33" i="3" l="1"/>
  <c r="Q33" i="3" s="1"/>
  <c r="R33" i="3" s="1"/>
  <c r="AC33" i="3"/>
  <c r="A34" i="3"/>
  <c r="B34" i="3" s="1"/>
  <c r="AA33" i="3"/>
  <c r="Z33" i="3"/>
  <c r="AD33" i="3"/>
  <c r="AG11" i="3"/>
  <c r="AH11" i="3"/>
  <c r="U10" i="3"/>
  <c r="E11" i="3" s="1"/>
  <c r="H11" i="3" s="1"/>
  <c r="Y9" i="3"/>
  <c r="T31" i="3"/>
  <c r="S32" i="3"/>
  <c r="K11" i="3" l="1"/>
  <c r="T32" i="3"/>
  <c r="S33" i="3"/>
  <c r="Z34" i="3"/>
  <c r="P34" i="3"/>
  <c r="Q34" i="3" s="1"/>
  <c r="R34" i="3" s="1"/>
  <c r="AC34" i="3"/>
  <c r="AD34" i="3"/>
  <c r="A35" i="3"/>
  <c r="B35" i="3" s="1"/>
  <c r="AA34" i="3"/>
  <c r="D11" i="3"/>
  <c r="S34" i="3" l="1"/>
  <c r="T33" i="3"/>
  <c r="V11" i="3"/>
  <c r="AE11" i="3"/>
  <c r="A36" i="3"/>
  <c r="B36" i="3" s="1"/>
  <c r="Z35" i="3"/>
  <c r="AD35" i="3"/>
  <c r="AA35" i="3"/>
  <c r="AC35" i="3"/>
  <c r="P35" i="3"/>
  <c r="Q35" i="3" s="1"/>
  <c r="R35" i="3" s="1"/>
  <c r="F11" i="3"/>
  <c r="G11" i="3"/>
  <c r="S35" i="3" l="1"/>
  <c r="T34" i="3"/>
  <c r="AD36" i="3"/>
  <c r="AA36" i="3"/>
  <c r="P36" i="3"/>
  <c r="Q36" i="3" s="1"/>
  <c r="R36" i="3" s="1"/>
  <c r="Z36" i="3"/>
  <c r="A37" i="3"/>
  <c r="B37" i="3" s="1"/>
  <c r="AC36" i="3"/>
  <c r="I11" i="3"/>
  <c r="W11" i="3" s="1"/>
  <c r="J11" i="3"/>
  <c r="M11" i="3"/>
  <c r="N11" i="3" s="1"/>
  <c r="AD37" i="3" l="1"/>
  <c r="Z37" i="3"/>
  <c r="AA37" i="3"/>
  <c r="AC37" i="3"/>
  <c r="P37" i="3"/>
  <c r="Q37" i="3" s="1"/>
  <c r="R37" i="3" s="1"/>
  <c r="A38" i="3"/>
  <c r="B38" i="3" s="1"/>
  <c r="L11" i="3"/>
  <c r="T35" i="3"/>
  <c r="S36" i="3"/>
  <c r="P38" i="3" l="1"/>
  <c r="Q38" i="3" s="1"/>
  <c r="R38" i="3" s="1"/>
  <c r="A39" i="3"/>
  <c r="B39" i="3" s="1"/>
  <c r="AC38" i="3"/>
  <c r="AA38" i="3"/>
  <c r="AD38" i="3"/>
  <c r="Z38" i="3"/>
  <c r="AH12" i="3"/>
  <c r="U11" i="3"/>
  <c r="E12" i="3" s="1"/>
  <c r="H12" i="3" s="1"/>
  <c r="AG12" i="3"/>
  <c r="Y10" i="3"/>
  <c r="T36" i="3"/>
  <c r="S37" i="3"/>
  <c r="D12" i="3" l="1"/>
  <c r="G12" i="3" s="1"/>
  <c r="S38" i="3"/>
  <c r="T37" i="3"/>
  <c r="K12" i="3"/>
  <c r="AC39" i="3"/>
  <c r="P39" i="3"/>
  <c r="Q39" i="3" s="1"/>
  <c r="R39" i="3" s="1"/>
  <c r="AD39" i="3"/>
  <c r="Z39" i="3"/>
  <c r="A40" i="3"/>
  <c r="B40" i="3" s="1"/>
  <c r="AA39" i="3"/>
  <c r="F12" i="3" l="1"/>
  <c r="P40" i="3"/>
  <c r="Q40" i="3" s="1"/>
  <c r="R40" i="3" s="1"/>
  <c r="AA40" i="3"/>
  <c r="A41" i="3"/>
  <c r="B41" i="3" s="1"/>
  <c r="AC40" i="3"/>
  <c r="Z40" i="3"/>
  <c r="AD40" i="3"/>
  <c r="V12" i="3"/>
  <c r="AE12" i="3"/>
  <c r="S39" i="3"/>
  <c r="T38" i="3"/>
  <c r="I12" i="3"/>
  <c r="J12" i="3"/>
  <c r="M12" i="3"/>
  <c r="N12" i="3" s="1"/>
  <c r="W12" i="3" l="1"/>
  <c r="P41" i="3"/>
  <c r="Q41" i="3" s="1"/>
  <c r="R41" i="3" s="1"/>
  <c r="AC41" i="3"/>
  <c r="A42" i="3"/>
  <c r="B42" i="3" s="1"/>
  <c r="AA41" i="3"/>
  <c r="Z41" i="3"/>
  <c r="AD41" i="3"/>
  <c r="L12" i="3"/>
  <c r="T39" i="3"/>
  <c r="S40" i="3"/>
  <c r="AG13" i="3" l="1"/>
  <c r="U12" i="3"/>
  <c r="E13" i="3" s="1"/>
  <c r="H13" i="3" s="1"/>
  <c r="AH13" i="3"/>
  <c r="Y11" i="3"/>
  <c r="P42" i="3"/>
  <c r="Q42" i="3" s="1"/>
  <c r="R42" i="3" s="1"/>
  <c r="Z42" i="3"/>
  <c r="AA42" i="3"/>
  <c r="A43" i="3"/>
  <c r="B43" i="3" s="1"/>
  <c r="AD42" i="3"/>
  <c r="AC42" i="3"/>
  <c r="S41" i="3"/>
  <c r="T40" i="3"/>
  <c r="D13" i="3" l="1"/>
  <c r="F13" i="3" s="1"/>
  <c r="K13" i="3"/>
  <c r="AC43" i="3"/>
  <c r="P43" i="3"/>
  <c r="Q43" i="3" s="1"/>
  <c r="R43" i="3" s="1"/>
  <c r="AD43" i="3"/>
  <c r="Z43" i="3"/>
  <c r="A44" i="3"/>
  <c r="B44" i="3" s="1"/>
  <c r="AA43" i="3"/>
  <c r="T41" i="3"/>
  <c r="S42" i="3"/>
  <c r="G13" i="3" l="1"/>
  <c r="I13" i="3" s="1"/>
  <c r="AA44" i="3"/>
  <c r="P44" i="3"/>
  <c r="Q44" i="3" s="1"/>
  <c r="R44" i="3" s="1"/>
  <c r="AD44" i="3"/>
  <c r="A45" i="3"/>
  <c r="B45" i="3" s="1"/>
  <c r="Z44" i="3"/>
  <c r="AC44" i="3"/>
  <c r="T42" i="3"/>
  <c r="S43" i="3"/>
  <c r="V13" i="3"/>
  <c r="AE13" i="3"/>
  <c r="J13" i="3" l="1"/>
  <c r="L13" i="3" s="1"/>
  <c r="M13" i="3"/>
  <c r="N13" i="3" s="1"/>
  <c r="P45" i="3"/>
  <c r="Q45" i="3" s="1"/>
  <c r="R45" i="3" s="1"/>
  <c r="A46" i="3"/>
  <c r="B46" i="3" s="1"/>
  <c r="AA45" i="3"/>
  <c r="AD45" i="3"/>
  <c r="Z45" i="3"/>
  <c r="AC45" i="3"/>
  <c r="S44" i="3"/>
  <c r="T43" i="3"/>
  <c r="W13" i="3"/>
  <c r="P46" i="3" l="1"/>
  <c r="Q46" i="3" s="1"/>
  <c r="R46" i="3" s="1"/>
  <c r="AA46" i="3"/>
  <c r="AD46" i="3"/>
  <c r="A47" i="3"/>
  <c r="B47" i="3" s="1"/>
  <c r="Z46" i="3"/>
  <c r="AC46" i="3"/>
  <c r="S45" i="3"/>
  <c r="T44" i="3"/>
  <c r="AH14" i="3"/>
  <c r="AG14" i="3"/>
  <c r="U13" i="3"/>
  <c r="D14" i="3" s="1"/>
  <c r="Y12" i="3"/>
  <c r="E14" i="3" l="1"/>
  <c r="H14" i="3" s="1"/>
  <c r="K14" i="3" s="1"/>
  <c r="AD47" i="3"/>
  <c r="AA47" i="3"/>
  <c r="P47" i="3"/>
  <c r="Q47" i="3" s="1"/>
  <c r="R47" i="3" s="1"/>
  <c r="A48" i="3"/>
  <c r="B48" i="3" s="1"/>
  <c r="Z47" i="3"/>
  <c r="AC47" i="3"/>
  <c r="S46" i="3"/>
  <c r="T45" i="3"/>
  <c r="G14" i="3"/>
  <c r="F14" i="3" l="1"/>
  <c r="AC48" i="3"/>
  <c r="Z48" i="3"/>
  <c r="AA48" i="3"/>
  <c r="A49" i="3"/>
  <c r="B49" i="3" s="1"/>
  <c r="AD48" i="3"/>
  <c r="P48" i="3"/>
  <c r="Q48" i="3" s="1"/>
  <c r="R48" i="3" s="1"/>
  <c r="V14" i="3"/>
  <c r="AE14" i="3"/>
  <c r="I14" i="3"/>
  <c r="J14" i="3"/>
  <c r="M14" i="3"/>
  <c r="N14" i="3" s="1"/>
  <c r="S47" i="3"/>
  <c r="T46" i="3"/>
  <c r="T47" i="3" l="1"/>
  <c r="S48" i="3"/>
  <c r="A50" i="3"/>
  <c r="B50" i="3" s="1"/>
  <c r="P49" i="3"/>
  <c r="Q49" i="3" s="1"/>
  <c r="R49" i="3" s="1"/>
  <c r="AC49" i="3"/>
  <c r="AD49" i="3"/>
  <c r="AA49" i="3"/>
  <c r="Z49" i="3"/>
  <c r="W14" i="3"/>
  <c r="L14" i="3"/>
  <c r="U14" i="3" l="1"/>
  <c r="E15" i="3" s="1"/>
  <c r="H15" i="3" s="1"/>
  <c r="AG15" i="3"/>
  <c r="AH15" i="3"/>
  <c r="Y13" i="3"/>
  <c r="Z50" i="3"/>
  <c r="AA50" i="3"/>
  <c r="P50" i="3"/>
  <c r="Q50" i="3" s="1"/>
  <c r="R50" i="3" s="1"/>
  <c r="A51" i="3"/>
  <c r="B51" i="3" s="1"/>
  <c r="AD50" i="3"/>
  <c r="AC50" i="3"/>
  <c r="T48" i="3"/>
  <c r="S49" i="3"/>
  <c r="D15" i="3" l="1"/>
  <c r="F15" i="3" s="1"/>
  <c r="AD51" i="3"/>
  <c r="A52" i="3"/>
  <c r="B52" i="3" s="1"/>
  <c r="P51" i="3"/>
  <c r="Q51" i="3" s="1"/>
  <c r="R51" i="3" s="1"/>
  <c r="AA51" i="3"/>
  <c r="Z51" i="3"/>
  <c r="AC51" i="3"/>
  <c r="K15" i="3"/>
  <c r="S50" i="3"/>
  <c r="T49" i="3"/>
  <c r="G15" i="3" l="1"/>
  <c r="I15" i="3" s="1"/>
  <c r="A53" i="3"/>
  <c r="B53" i="3" s="1"/>
  <c r="AC52" i="3"/>
  <c r="P52" i="3"/>
  <c r="Q52" i="3" s="1"/>
  <c r="R52" i="3" s="1"/>
  <c r="AA52" i="3"/>
  <c r="AD52" i="3"/>
  <c r="Z52" i="3"/>
  <c r="T50" i="3"/>
  <c r="S51" i="3"/>
  <c r="V15" i="3"/>
  <c r="AE15" i="3"/>
  <c r="J15" i="3" l="1"/>
  <c r="L15" i="3" s="1"/>
  <c r="M15" i="3"/>
  <c r="N15" i="3" s="1"/>
  <c r="A54" i="3"/>
  <c r="B54" i="3" s="1"/>
  <c r="AD53" i="3"/>
  <c r="P53" i="3"/>
  <c r="Q53" i="3" s="1"/>
  <c r="R53" i="3" s="1"/>
  <c r="AA53" i="3"/>
  <c r="AC53" i="3"/>
  <c r="Z53" i="3"/>
  <c r="T51" i="3"/>
  <c r="S52" i="3"/>
  <c r="W15" i="3"/>
  <c r="AC54" i="3" l="1"/>
  <c r="P54" i="3"/>
  <c r="Q54" i="3" s="1"/>
  <c r="R54" i="3" s="1"/>
  <c r="A55" i="3"/>
  <c r="B55" i="3" s="1"/>
  <c r="AA54" i="3"/>
  <c r="Z54" i="3"/>
  <c r="AD54" i="3"/>
  <c r="T52" i="3"/>
  <c r="S53" i="3"/>
  <c r="U15" i="3"/>
  <c r="D16" i="3" s="1"/>
  <c r="AG16" i="3"/>
  <c r="AH16" i="3"/>
  <c r="Y14" i="3"/>
  <c r="E16" i="3" l="1"/>
  <c r="H16" i="3" s="1"/>
  <c r="K16" i="3" s="1"/>
  <c r="G16" i="3"/>
  <c r="S54" i="3"/>
  <c r="T53" i="3"/>
  <c r="P55" i="3"/>
  <c r="Q55" i="3" s="1"/>
  <c r="R55" i="3" s="1"/>
  <c r="A56" i="3"/>
  <c r="B56" i="3" s="1"/>
  <c r="AC55" i="3"/>
  <c r="AA55" i="3"/>
  <c r="Z55" i="3"/>
  <c r="AD55" i="3"/>
  <c r="F16" i="3" l="1"/>
  <c r="P56" i="3"/>
  <c r="Q56" i="3" s="1"/>
  <c r="R56" i="3" s="1"/>
  <c r="AA56" i="3"/>
  <c r="A57" i="3"/>
  <c r="B57" i="3" s="1"/>
  <c r="AD56" i="3"/>
  <c r="Z56" i="3"/>
  <c r="AC56" i="3"/>
  <c r="I16" i="3"/>
  <c r="J16" i="3"/>
  <c r="M16" i="3"/>
  <c r="N16" i="3" s="1"/>
  <c r="S55" i="3"/>
  <c r="T54" i="3"/>
  <c r="V16" i="3"/>
  <c r="AE16" i="3"/>
  <c r="S56" i="3" l="1"/>
  <c r="T55" i="3"/>
  <c r="AD57" i="3"/>
  <c r="AA57" i="3"/>
  <c r="A58" i="3"/>
  <c r="B58" i="3" s="1"/>
  <c r="AC57" i="3"/>
  <c r="P57" i="3"/>
  <c r="Q57" i="3" s="1"/>
  <c r="R57" i="3" s="1"/>
  <c r="Z57" i="3"/>
  <c r="L16" i="3"/>
  <c r="W16" i="3"/>
  <c r="Z58" i="3" l="1"/>
  <c r="AD58" i="3"/>
  <c r="AA58" i="3"/>
  <c r="P58" i="3"/>
  <c r="Q58" i="3" s="1"/>
  <c r="R58" i="3" s="1"/>
  <c r="A59" i="3"/>
  <c r="B59" i="3" s="1"/>
  <c r="AC58" i="3"/>
  <c r="S57" i="3"/>
  <c r="T56" i="3"/>
  <c r="U16" i="3"/>
  <c r="D17" i="3" s="1"/>
  <c r="AG17" i="3"/>
  <c r="AH17" i="3"/>
  <c r="Y15" i="3"/>
  <c r="G17" i="3" l="1"/>
  <c r="P59" i="3"/>
  <c r="Q59" i="3" s="1"/>
  <c r="R59" i="3" s="1"/>
  <c r="A60" i="3"/>
  <c r="B60" i="3" s="1"/>
  <c r="AC59" i="3"/>
  <c r="AD59" i="3"/>
  <c r="Z59" i="3"/>
  <c r="AA59" i="3"/>
  <c r="E17" i="3"/>
  <c r="H17" i="3" s="1"/>
  <c r="S58" i="3"/>
  <c r="T57" i="3"/>
  <c r="AC60" i="3" l="1"/>
  <c r="AD60" i="3"/>
  <c r="Z60" i="3"/>
  <c r="P60" i="3"/>
  <c r="Q60" i="3" s="1"/>
  <c r="R60" i="3" s="1"/>
  <c r="A61" i="3"/>
  <c r="B61" i="3" s="1"/>
  <c r="AA60" i="3"/>
  <c r="F17" i="3"/>
  <c r="I17" i="3"/>
  <c r="J17" i="3"/>
  <c r="M17" i="3"/>
  <c r="N17" i="3" s="1"/>
  <c r="K17" i="3"/>
  <c r="S59" i="3"/>
  <c r="T58" i="3"/>
  <c r="A62" i="3" l="1"/>
  <c r="B62" i="3" s="1"/>
  <c r="Z61" i="3"/>
  <c r="AD61" i="3"/>
  <c r="AC61" i="3"/>
  <c r="P61" i="3"/>
  <c r="Q61" i="3" s="1"/>
  <c r="R61" i="3" s="1"/>
  <c r="AA61" i="3"/>
  <c r="T59" i="3"/>
  <c r="S60" i="3"/>
  <c r="V17" i="3"/>
  <c r="W17" i="3" s="1"/>
  <c r="AE17" i="3"/>
  <c r="L17" i="3"/>
  <c r="AD62" i="3" l="1"/>
  <c r="P62" i="3"/>
  <c r="Q62" i="3" s="1"/>
  <c r="R62" i="3" s="1"/>
  <c r="Z62" i="3"/>
  <c r="AA62" i="3"/>
  <c r="AC62" i="3"/>
  <c r="A63" i="3"/>
  <c r="B63" i="3" s="1"/>
  <c r="S61" i="3"/>
  <c r="T60" i="3"/>
  <c r="U17" i="3"/>
  <c r="E18" i="3" s="1"/>
  <c r="H18" i="3" s="1"/>
  <c r="AG18" i="3"/>
  <c r="AH18" i="3"/>
  <c r="Y16" i="3"/>
  <c r="D18" i="3" l="1"/>
  <c r="G18" i="3" s="1"/>
  <c r="K18" i="3"/>
  <c r="AC63" i="3"/>
  <c r="AA63" i="3"/>
  <c r="A64" i="3"/>
  <c r="B64" i="3" s="1"/>
  <c r="AD63" i="3"/>
  <c r="P63" i="3"/>
  <c r="Q63" i="3" s="1"/>
  <c r="R63" i="3" s="1"/>
  <c r="Z63" i="3"/>
  <c r="S62" i="3"/>
  <c r="T61" i="3"/>
  <c r="F18" i="3" l="1"/>
  <c r="I18" i="3"/>
  <c r="J18" i="3"/>
  <c r="M18" i="3"/>
  <c r="N18" i="3" s="1"/>
  <c r="S63" i="3"/>
  <c r="T62" i="3"/>
  <c r="A65" i="3"/>
  <c r="B65" i="3" s="1"/>
  <c r="Z64" i="3"/>
  <c r="AA64" i="3"/>
  <c r="AC64" i="3"/>
  <c r="AD64" i="3"/>
  <c r="P64" i="3"/>
  <c r="Q64" i="3" s="1"/>
  <c r="R64" i="3" s="1"/>
  <c r="V18" i="3"/>
  <c r="AE18" i="3"/>
  <c r="Z65" i="3" l="1"/>
  <c r="AA65" i="3"/>
  <c r="A66" i="3"/>
  <c r="B66" i="3" s="1"/>
  <c r="AC65" i="3"/>
  <c r="P65" i="3"/>
  <c r="Q65" i="3" s="1"/>
  <c r="R65" i="3" s="1"/>
  <c r="AD65" i="3"/>
  <c r="L18" i="3"/>
  <c r="W18" i="3"/>
  <c r="S64" i="3"/>
  <c r="T63" i="3"/>
  <c r="A67" i="3" l="1"/>
  <c r="B67" i="3" s="1"/>
  <c r="P66" i="3"/>
  <c r="Q66" i="3" s="1"/>
  <c r="R66" i="3" s="1"/>
  <c r="AC66" i="3"/>
  <c r="Z66" i="3"/>
  <c r="AD66" i="3"/>
  <c r="AA66" i="3"/>
  <c r="U18" i="3"/>
  <c r="D19" i="3" s="1"/>
  <c r="AH19" i="3"/>
  <c r="AG19" i="3"/>
  <c r="Y17" i="3"/>
  <c r="S65" i="3"/>
  <c r="T64" i="3"/>
  <c r="G19" i="3" l="1"/>
  <c r="E19" i="3"/>
  <c r="H19" i="3" s="1"/>
  <c r="AA67" i="3"/>
  <c r="Z67" i="3"/>
  <c r="AD67" i="3"/>
  <c r="AC67" i="3"/>
  <c r="P67" i="3"/>
  <c r="Q67" i="3" s="1"/>
  <c r="R67" i="3" s="1"/>
  <c r="A68" i="3"/>
  <c r="B68" i="3" s="1"/>
  <c r="S66" i="3"/>
  <c r="T65" i="3"/>
  <c r="F19" i="3" l="1"/>
  <c r="AD68" i="3"/>
  <c r="AC68" i="3"/>
  <c r="Z68" i="3"/>
  <c r="AA68" i="3"/>
  <c r="A69" i="3"/>
  <c r="B69" i="3" s="1"/>
  <c r="P68" i="3"/>
  <c r="Q68" i="3" s="1"/>
  <c r="R68" i="3" s="1"/>
  <c r="I19" i="3"/>
  <c r="J19" i="3"/>
  <c r="M19" i="3"/>
  <c r="N19" i="3" s="1"/>
  <c r="K19" i="3"/>
  <c r="S67" i="3"/>
  <c r="T66" i="3"/>
  <c r="Z69" i="3" l="1"/>
  <c r="AC69" i="3"/>
  <c r="P69" i="3"/>
  <c r="Q69" i="3" s="1"/>
  <c r="R69" i="3" s="1"/>
  <c r="AA69" i="3"/>
  <c r="AD69" i="3"/>
  <c r="A70" i="3"/>
  <c r="B70" i="3" s="1"/>
  <c r="V19" i="3"/>
  <c r="W19" i="3" s="1"/>
  <c r="AE19" i="3"/>
  <c r="L19" i="3"/>
  <c r="T67" i="3"/>
  <c r="S68" i="3"/>
  <c r="AH20" i="3" l="1"/>
  <c r="U19" i="3"/>
  <c r="E20" i="3" s="1"/>
  <c r="H20" i="3" s="1"/>
  <c r="AG20" i="3"/>
  <c r="Y18" i="3"/>
  <c r="A71" i="3"/>
  <c r="B71" i="3" s="1"/>
  <c r="AC70" i="3"/>
  <c r="AA70" i="3"/>
  <c r="AD70" i="3"/>
  <c r="P70" i="3"/>
  <c r="Q70" i="3" s="1"/>
  <c r="R70" i="3" s="1"/>
  <c r="Z70" i="3"/>
  <c r="S69" i="3"/>
  <c r="T68" i="3"/>
  <c r="D20" i="3" l="1"/>
  <c r="G20" i="3" s="1"/>
  <c r="K20" i="3"/>
  <c r="AA71" i="3"/>
  <c r="A72" i="3"/>
  <c r="B72" i="3" s="1"/>
  <c r="AC71" i="3"/>
  <c r="Z71" i="3"/>
  <c r="AD71" i="3"/>
  <c r="P71" i="3"/>
  <c r="Q71" i="3" s="1"/>
  <c r="R71" i="3" s="1"/>
  <c r="T69" i="3"/>
  <c r="S70" i="3"/>
  <c r="F20" i="3" l="1"/>
  <c r="A73" i="3"/>
  <c r="B73" i="3" s="1"/>
  <c r="Z72" i="3"/>
  <c r="P72" i="3"/>
  <c r="Q72" i="3" s="1"/>
  <c r="R72" i="3" s="1"/>
  <c r="AD72" i="3"/>
  <c r="AA72" i="3"/>
  <c r="AC72" i="3"/>
  <c r="T70" i="3"/>
  <c r="S71" i="3"/>
  <c r="V20" i="3"/>
  <c r="AE20" i="3"/>
  <c r="I20" i="3"/>
  <c r="J20" i="3"/>
  <c r="M20" i="3"/>
  <c r="N20" i="3" s="1"/>
  <c r="AC73" i="3" l="1"/>
  <c r="A74" i="3"/>
  <c r="B74" i="3" s="1"/>
  <c r="Z73" i="3"/>
  <c r="AA73" i="3"/>
  <c r="AD73" i="3"/>
  <c r="P73" i="3"/>
  <c r="Q73" i="3" s="1"/>
  <c r="R73" i="3" s="1"/>
  <c r="L20" i="3"/>
  <c r="T71" i="3"/>
  <c r="S72" i="3"/>
  <c r="W20" i="3"/>
  <c r="AD74" i="3" l="1"/>
  <c r="P74" i="3"/>
  <c r="Q74" i="3" s="1"/>
  <c r="R74" i="3" s="1"/>
  <c r="AC74" i="3"/>
  <c r="A75" i="3"/>
  <c r="B75" i="3" s="1"/>
  <c r="AA74" i="3"/>
  <c r="Z74" i="3"/>
  <c r="AG21" i="3"/>
  <c r="U20" i="3"/>
  <c r="E21" i="3" s="1"/>
  <c r="H21" i="3" s="1"/>
  <c r="AH21" i="3"/>
  <c r="Y19" i="3"/>
  <c r="S73" i="3"/>
  <c r="T72" i="3"/>
  <c r="D21" i="3" l="1"/>
  <c r="G21" i="3" s="1"/>
  <c r="K21" i="3"/>
  <c r="P75" i="3"/>
  <c r="Q75" i="3" s="1"/>
  <c r="R75" i="3" s="1"/>
  <c r="Z75" i="3"/>
  <c r="A76" i="3"/>
  <c r="B76" i="3" s="1"/>
  <c r="AA75" i="3"/>
  <c r="AC75" i="3"/>
  <c r="AD75" i="3"/>
  <c r="T73" i="3"/>
  <c r="S74" i="3"/>
  <c r="F21" i="3" l="1"/>
  <c r="AC76" i="3"/>
  <c r="Z76" i="3"/>
  <c r="AD76" i="3"/>
  <c r="AA76" i="3"/>
  <c r="A77" i="3"/>
  <c r="B77" i="3" s="1"/>
  <c r="P76" i="3"/>
  <c r="Q76" i="3" s="1"/>
  <c r="R76" i="3" s="1"/>
  <c r="I21" i="3"/>
  <c r="J21" i="3"/>
  <c r="M21" i="3"/>
  <c r="N21" i="3" s="1"/>
  <c r="S75" i="3"/>
  <c r="T74" i="3"/>
  <c r="V21" i="3"/>
  <c r="AE21" i="3"/>
  <c r="W21" i="3" l="1"/>
  <c r="S76" i="3"/>
  <c r="T75" i="3"/>
  <c r="A78" i="3"/>
  <c r="B78" i="3" s="1"/>
  <c r="AA77" i="3"/>
  <c r="Z77" i="3"/>
  <c r="P77" i="3"/>
  <c r="Q77" i="3" s="1"/>
  <c r="R77" i="3" s="1"/>
  <c r="AD77" i="3"/>
  <c r="AC77" i="3"/>
  <c r="L21" i="3"/>
  <c r="S77" i="3" l="1"/>
  <c r="T76" i="3"/>
  <c r="AG22" i="3"/>
  <c r="U21" i="3"/>
  <c r="D22" i="3" s="1"/>
  <c r="AH22" i="3"/>
  <c r="Y20" i="3"/>
  <c r="A79" i="3"/>
  <c r="B79" i="3" s="1"/>
  <c r="AD78" i="3"/>
  <c r="P78" i="3"/>
  <c r="Q78" i="3" s="1"/>
  <c r="R78" i="3" s="1"/>
  <c r="AC78" i="3"/>
  <c r="AA78" i="3"/>
  <c r="Z78" i="3"/>
  <c r="G22" i="3" l="1"/>
  <c r="T77" i="3"/>
  <c r="S78" i="3"/>
  <c r="E22" i="3"/>
  <c r="H22" i="3" s="1"/>
  <c r="P79" i="3"/>
  <c r="Q79" i="3" s="1"/>
  <c r="R79" i="3" s="1"/>
  <c r="A80" i="3"/>
  <c r="B80" i="3" s="1"/>
  <c r="Z79" i="3"/>
  <c r="AC79" i="3"/>
  <c r="AA79" i="3"/>
  <c r="AD79" i="3"/>
  <c r="AA80" i="3" l="1"/>
  <c r="A81" i="3"/>
  <c r="B81" i="3" s="1"/>
  <c r="AD80" i="3"/>
  <c r="AC80" i="3"/>
  <c r="P80" i="3"/>
  <c r="Q80" i="3" s="1"/>
  <c r="R80" i="3" s="1"/>
  <c r="Z80" i="3"/>
  <c r="I22" i="3"/>
  <c r="J22" i="3"/>
  <c r="M22" i="3"/>
  <c r="N22" i="3" s="1"/>
  <c r="K22" i="3"/>
  <c r="T78" i="3"/>
  <c r="S79" i="3"/>
  <c r="F22" i="3"/>
  <c r="L22" i="3" l="1"/>
  <c r="S80" i="3"/>
  <c r="T79" i="3"/>
  <c r="Z81" i="3"/>
  <c r="AC81" i="3"/>
  <c r="A82" i="3"/>
  <c r="B82" i="3" s="1"/>
  <c r="AA81" i="3"/>
  <c r="AD81" i="3"/>
  <c r="P81" i="3"/>
  <c r="Q81" i="3" s="1"/>
  <c r="R81" i="3" s="1"/>
  <c r="V22" i="3"/>
  <c r="W22" i="3" s="1"/>
  <c r="AE22" i="3"/>
  <c r="U22" i="3" l="1"/>
  <c r="E23" i="3" s="1"/>
  <c r="H23" i="3" s="1"/>
  <c r="AH23" i="3"/>
  <c r="AG23" i="3"/>
  <c r="Y21" i="3"/>
  <c r="A83" i="3"/>
  <c r="B83" i="3" s="1"/>
  <c r="P82" i="3"/>
  <c r="Q82" i="3" s="1"/>
  <c r="R82" i="3" s="1"/>
  <c r="AC82" i="3"/>
  <c r="AA82" i="3"/>
  <c r="Z82" i="3"/>
  <c r="AD82" i="3"/>
  <c r="T80" i="3"/>
  <c r="S81" i="3"/>
  <c r="AA83" i="3" l="1"/>
  <c r="AC83" i="3"/>
  <c r="P83" i="3"/>
  <c r="Q83" i="3" s="1"/>
  <c r="R83" i="3" s="1"/>
  <c r="Z83" i="3"/>
  <c r="AD83" i="3"/>
  <c r="A84" i="3"/>
  <c r="B84" i="3" s="1"/>
  <c r="K23" i="3"/>
  <c r="D23" i="3"/>
  <c r="T81" i="3"/>
  <c r="S82" i="3"/>
  <c r="AA84" i="3" l="1"/>
  <c r="Z84" i="3"/>
  <c r="A85" i="3"/>
  <c r="B85" i="3" s="1"/>
  <c r="P84" i="3"/>
  <c r="Q84" i="3" s="1"/>
  <c r="R84" i="3" s="1"/>
  <c r="AD84" i="3"/>
  <c r="AC84" i="3"/>
  <c r="T82" i="3"/>
  <c r="S83" i="3"/>
  <c r="V23" i="3"/>
  <c r="AE23" i="3"/>
  <c r="F23" i="3"/>
  <c r="G23" i="3"/>
  <c r="T83" i="3" l="1"/>
  <c r="S84" i="3"/>
  <c r="A86" i="3"/>
  <c r="B86" i="3" s="1"/>
  <c r="P85" i="3"/>
  <c r="Q85" i="3" s="1"/>
  <c r="R85" i="3" s="1"/>
  <c r="AA85" i="3"/>
  <c r="AC85" i="3"/>
  <c r="Z85" i="3"/>
  <c r="AD85" i="3"/>
  <c r="I23" i="3"/>
  <c r="W23" i="3" s="1"/>
  <c r="J23" i="3"/>
  <c r="M23" i="3"/>
  <c r="N23" i="3" s="1"/>
  <c r="AC86" i="3" l="1"/>
  <c r="Z86" i="3"/>
  <c r="P86" i="3"/>
  <c r="Q86" i="3" s="1"/>
  <c r="R86" i="3" s="1"/>
  <c r="AA86" i="3"/>
  <c r="A87" i="3"/>
  <c r="B87" i="3" s="1"/>
  <c r="AD86" i="3"/>
  <c r="S85" i="3"/>
  <c r="T84" i="3"/>
  <c r="L23" i="3"/>
  <c r="P87" i="3" l="1"/>
  <c r="Q87" i="3" s="1"/>
  <c r="R87" i="3" s="1"/>
  <c r="Z87" i="3"/>
  <c r="A88" i="3"/>
  <c r="B88" i="3" s="1"/>
  <c r="AD87" i="3"/>
  <c r="AC87" i="3"/>
  <c r="AA87" i="3"/>
  <c r="AG24" i="3"/>
  <c r="AH24" i="3"/>
  <c r="U23" i="3"/>
  <c r="E24" i="3" s="1"/>
  <c r="H24" i="3" s="1"/>
  <c r="Y22" i="3"/>
  <c r="T85" i="3"/>
  <c r="S86" i="3"/>
  <c r="D24" i="3" l="1"/>
  <c r="G24" i="3" s="1"/>
  <c r="T86" i="3"/>
  <c r="S87" i="3"/>
  <c r="A89" i="3"/>
  <c r="B89" i="3" s="1"/>
  <c r="P88" i="3"/>
  <c r="Q88" i="3" s="1"/>
  <c r="R88" i="3" s="1"/>
  <c r="AC88" i="3"/>
  <c r="Z88" i="3"/>
  <c r="AA88" i="3"/>
  <c r="AD88" i="3"/>
  <c r="K24" i="3"/>
  <c r="F24" i="3" l="1"/>
  <c r="AD89" i="3"/>
  <c r="AC89" i="3"/>
  <c r="P89" i="3"/>
  <c r="Q89" i="3" s="1"/>
  <c r="R89" i="3" s="1"/>
  <c r="Z89" i="3"/>
  <c r="AA89" i="3"/>
  <c r="A90" i="3"/>
  <c r="B90" i="3" s="1"/>
  <c r="S88" i="3"/>
  <c r="T87" i="3"/>
  <c r="V24" i="3"/>
  <c r="AE24" i="3"/>
  <c r="I24" i="3"/>
  <c r="J24" i="3"/>
  <c r="M24" i="3"/>
  <c r="N24" i="3" s="1"/>
  <c r="T88" i="3" l="1"/>
  <c r="S89" i="3"/>
  <c r="A91" i="3"/>
  <c r="B91" i="3" s="1"/>
  <c r="P90" i="3"/>
  <c r="Q90" i="3" s="1"/>
  <c r="R90" i="3" s="1"/>
  <c r="AC90" i="3"/>
  <c r="Z90" i="3"/>
  <c r="AA90" i="3"/>
  <c r="AD90" i="3"/>
  <c r="L24" i="3"/>
  <c r="W24" i="3"/>
  <c r="S90" i="3" l="1"/>
  <c r="T89" i="3"/>
  <c r="P91" i="3"/>
  <c r="Q91" i="3" s="1"/>
  <c r="R91" i="3" s="1"/>
  <c r="AD91" i="3"/>
  <c r="AA91" i="3"/>
  <c r="A92" i="3"/>
  <c r="B92" i="3" s="1"/>
  <c r="AC91" i="3"/>
  <c r="Z91" i="3"/>
  <c r="AH25" i="3"/>
  <c r="AG25" i="3"/>
  <c r="U24" i="3"/>
  <c r="D25" i="3" s="1"/>
  <c r="Y23" i="3"/>
  <c r="E25" i="3" l="1"/>
  <c r="H25" i="3" s="1"/>
  <c r="K25" i="3" s="1"/>
  <c r="G25" i="3"/>
  <c r="AA92" i="3"/>
  <c r="AD92" i="3"/>
  <c r="AC92" i="3"/>
  <c r="P92" i="3"/>
  <c r="Q92" i="3" s="1"/>
  <c r="R92" i="3" s="1"/>
  <c r="Z92" i="3"/>
  <c r="A93" i="3"/>
  <c r="B93" i="3" s="1"/>
  <c r="S91" i="3"/>
  <c r="T90" i="3"/>
  <c r="F25" i="3" l="1"/>
  <c r="S92" i="3"/>
  <c r="T91" i="3"/>
  <c r="Z93" i="3"/>
  <c r="AA93" i="3"/>
  <c r="P93" i="3"/>
  <c r="Q93" i="3" s="1"/>
  <c r="R93" i="3" s="1"/>
  <c r="A94" i="3"/>
  <c r="B94" i="3" s="1"/>
  <c r="AD93" i="3"/>
  <c r="AC93" i="3"/>
  <c r="I25" i="3"/>
  <c r="J25" i="3"/>
  <c r="M25" i="3"/>
  <c r="N25" i="3" s="1"/>
  <c r="V25" i="3"/>
  <c r="AE25" i="3"/>
  <c r="W25" i="3" l="1"/>
  <c r="AC94" i="3"/>
  <c r="Z94" i="3"/>
  <c r="AA94" i="3"/>
  <c r="AD94" i="3"/>
  <c r="A95" i="3"/>
  <c r="B95" i="3" s="1"/>
  <c r="P94" i="3"/>
  <c r="Q94" i="3" s="1"/>
  <c r="R94" i="3" s="1"/>
  <c r="L25" i="3"/>
  <c r="T92" i="3"/>
  <c r="S93" i="3"/>
  <c r="U25" i="3" l="1"/>
  <c r="E26" i="3" s="1"/>
  <c r="H26" i="3" s="1"/>
  <c r="AH26" i="3"/>
  <c r="AG26" i="3"/>
  <c r="Y24" i="3"/>
  <c r="Z95" i="3"/>
  <c r="A96" i="3"/>
  <c r="B96" i="3" s="1"/>
  <c r="P95" i="3"/>
  <c r="Q95" i="3" s="1"/>
  <c r="R95" i="3" s="1"/>
  <c r="AC95" i="3"/>
  <c r="AD95" i="3"/>
  <c r="AA95" i="3"/>
  <c r="S94" i="3"/>
  <c r="T93" i="3"/>
  <c r="D26" i="3" l="1"/>
  <c r="G26" i="3" s="1"/>
  <c r="K26" i="3"/>
  <c r="Z96" i="3"/>
  <c r="P96" i="3"/>
  <c r="Q96" i="3" s="1"/>
  <c r="R96" i="3" s="1"/>
  <c r="AC96" i="3"/>
  <c r="AA96" i="3"/>
  <c r="AD96" i="3"/>
  <c r="A97" i="3"/>
  <c r="B97" i="3" s="1"/>
  <c r="T94" i="3"/>
  <c r="S95" i="3"/>
  <c r="F26" i="3" l="1"/>
  <c r="I26" i="3"/>
  <c r="J26" i="3"/>
  <c r="M26" i="3"/>
  <c r="N26" i="3" s="1"/>
  <c r="S96" i="3"/>
  <c r="T95" i="3"/>
  <c r="A98" i="3"/>
  <c r="B98" i="3" s="1"/>
  <c r="P97" i="3"/>
  <c r="Q97" i="3" s="1"/>
  <c r="R97" i="3" s="1"/>
  <c r="AD97" i="3"/>
  <c r="AA97" i="3"/>
  <c r="Z97" i="3"/>
  <c r="AC97" i="3"/>
  <c r="V26" i="3"/>
  <c r="AE26" i="3"/>
  <c r="W26" i="3" l="1"/>
  <c r="A99" i="3"/>
  <c r="B99" i="3" s="1"/>
  <c r="AD98" i="3"/>
  <c r="AA98" i="3"/>
  <c r="P98" i="3"/>
  <c r="Q98" i="3" s="1"/>
  <c r="R98" i="3" s="1"/>
  <c r="Z98" i="3"/>
  <c r="AC98" i="3"/>
  <c r="S97" i="3"/>
  <c r="T96" i="3"/>
  <c r="L26" i="3"/>
  <c r="AD99" i="3" l="1"/>
  <c r="P99" i="3"/>
  <c r="Q99" i="3" s="1"/>
  <c r="R99" i="3" s="1"/>
  <c r="Z99" i="3"/>
  <c r="A100" i="3"/>
  <c r="B100" i="3" s="1"/>
  <c r="AC99" i="3"/>
  <c r="AA99" i="3"/>
  <c r="T97" i="3"/>
  <c r="S98" i="3"/>
  <c r="AH27" i="3"/>
  <c r="U26" i="3"/>
  <c r="D27" i="3" s="1"/>
  <c r="AG27" i="3"/>
  <c r="Y25" i="3"/>
  <c r="E27" i="3" l="1"/>
  <c r="H27" i="3" s="1"/>
  <c r="K27" i="3" s="1"/>
  <c r="G27" i="3"/>
  <c r="A101" i="3"/>
  <c r="B101" i="3" s="1"/>
  <c r="AA100" i="3"/>
  <c r="AC100" i="3"/>
  <c r="Z100" i="3"/>
  <c r="AD100" i="3"/>
  <c r="P100" i="3"/>
  <c r="Q100" i="3" s="1"/>
  <c r="R100" i="3" s="1"/>
  <c r="T98" i="3"/>
  <c r="S99" i="3"/>
  <c r="F27" i="3" l="1"/>
  <c r="AD101" i="3"/>
  <c r="Z101" i="3"/>
  <c r="P101" i="3"/>
  <c r="Q101" i="3" s="1"/>
  <c r="R101" i="3" s="1"/>
  <c r="AC101" i="3"/>
  <c r="A102" i="3"/>
  <c r="B102" i="3" s="1"/>
  <c r="AA101" i="3"/>
  <c r="I27" i="3"/>
  <c r="J27" i="3"/>
  <c r="M27" i="3"/>
  <c r="N27" i="3" s="1"/>
  <c r="V27" i="3"/>
  <c r="AE27" i="3"/>
  <c r="T99" i="3"/>
  <c r="S100" i="3"/>
  <c r="P102" i="3" l="1"/>
  <c r="Q102" i="3" s="1"/>
  <c r="R102" i="3" s="1"/>
  <c r="A103" i="3"/>
  <c r="B103" i="3" s="1"/>
  <c r="AA102" i="3"/>
  <c r="AC102" i="3"/>
  <c r="AD102" i="3"/>
  <c r="Z102" i="3"/>
  <c r="T100" i="3"/>
  <c r="S101" i="3"/>
  <c r="L27" i="3"/>
  <c r="W27" i="3"/>
  <c r="P103" i="3" l="1"/>
  <c r="Q103" i="3" s="1"/>
  <c r="R103" i="3" s="1"/>
  <c r="AD103" i="3"/>
  <c r="AC103" i="3"/>
  <c r="Z103" i="3"/>
  <c r="A104" i="3"/>
  <c r="B104" i="3" s="1"/>
  <c r="AA103" i="3"/>
  <c r="U27" i="3"/>
  <c r="E28" i="3" s="1"/>
  <c r="H28" i="3" s="1"/>
  <c r="AG28" i="3"/>
  <c r="AH28" i="3"/>
  <c r="Y26" i="3"/>
  <c r="S102" i="3"/>
  <c r="T101" i="3"/>
  <c r="D28" i="3" l="1"/>
  <c r="F28" i="3" s="1"/>
  <c r="K28" i="3"/>
  <c r="A105" i="3"/>
  <c r="B105" i="3" s="1"/>
  <c r="AC104" i="3"/>
  <c r="P104" i="3"/>
  <c r="Q104" i="3" s="1"/>
  <c r="R104" i="3" s="1"/>
  <c r="Z104" i="3"/>
  <c r="AA104" i="3"/>
  <c r="T102" i="3"/>
  <c r="S103" i="3"/>
  <c r="G28" i="3" l="1"/>
  <c r="I28" i="3" s="1"/>
  <c r="A106" i="3"/>
  <c r="B106" i="3" s="1"/>
  <c r="AA105" i="3"/>
  <c r="Z105" i="3"/>
  <c r="P105" i="3"/>
  <c r="Q105" i="3" s="1"/>
  <c r="R105" i="3" s="1"/>
  <c r="AC105" i="3"/>
  <c r="AD105" i="3"/>
  <c r="S104" i="3"/>
  <c r="T103" i="3"/>
  <c r="V28" i="3"/>
  <c r="AE28" i="3"/>
  <c r="M28" i="3" l="1"/>
  <c r="N28" i="3" s="1"/>
  <c r="J28" i="3"/>
  <c r="L28" i="3" s="1"/>
  <c r="W28" i="3"/>
  <c r="P106" i="3"/>
  <c r="Q106" i="3" s="1"/>
  <c r="R106" i="3" s="1"/>
  <c r="Z106" i="3"/>
  <c r="A107" i="3"/>
  <c r="B107" i="3" s="1"/>
  <c r="AD106" i="3"/>
  <c r="AC106" i="3"/>
  <c r="AA106" i="3"/>
  <c r="S105" i="3"/>
  <c r="T104" i="3"/>
  <c r="S106" i="3" l="1"/>
  <c r="T105" i="3"/>
  <c r="Z107" i="3"/>
  <c r="AA107" i="3"/>
  <c r="AC107" i="3"/>
  <c r="AD107" i="3"/>
  <c r="P107" i="3"/>
  <c r="Q107" i="3" s="1"/>
  <c r="R107" i="3" s="1"/>
  <c r="A108" i="3"/>
  <c r="B108" i="3" s="1"/>
  <c r="AH29" i="3"/>
  <c r="AG29" i="3"/>
  <c r="U28" i="3"/>
  <c r="E29" i="3" s="1"/>
  <c r="H29" i="3" s="1"/>
  <c r="Y27" i="3"/>
  <c r="D29" i="3" l="1"/>
  <c r="F29" i="3" s="1"/>
  <c r="Z108" i="3"/>
  <c r="AA108" i="3"/>
  <c r="A109" i="3"/>
  <c r="B109" i="3" s="1"/>
  <c r="AC108" i="3"/>
  <c r="P108" i="3"/>
  <c r="Q108" i="3" s="1"/>
  <c r="R108" i="3" s="1"/>
  <c r="AD108" i="3"/>
  <c r="S107" i="3"/>
  <c r="T106" i="3"/>
  <c r="K29" i="3"/>
  <c r="G29" i="3" l="1"/>
  <c r="M29" i="3" s="1"/>
  <c r="N29" i="3" s="1"/>
  <c r="A110" i="3"/>
  <c r="B110" i="3" s="1"/>
  <c r="AD109" i="3"/>
  <c r="P109" i="3"/>
  <c r="Q109" i="3" s="1"/>
  <c r="R109" i="3" s="1"/>
  <c r="AA109" i="3"/>
  <c r="Z109" i="3"/>
  <c r="AC109" i="3"/>
  <c r="V29" i="3"/>
  <c r="AE29" i="3"/>
  <c r="T107" i="3"/>
  <c r="S108" i="3"/>
  <c r="J29" i="3" l="1"/>
  <c r="L29" i="3" s="1"/>
  <c r="I29" i="3"/>
  <c r="W29" i="3" s="1"/>
  <c r="AA110" i="3"/>
  <c r="A111" i="3"/>
  <c r="B111" i="3" s="1"/>
  <c r="AD110" i="3"/>
  <c r="Z110" i="3"/>
  <c r="P110" i="3"/>
  <c r="Q110" i="3" s="1"/>
  <c r="R110" i="3" s="1"/>
  <c r="AC110" i="3"/>
  <c r="S109" i="3"/>
  <c r="T108" i="3"/>
  <c r="A112" i="3" l="1"/>
  <c r="B112" i="3" s="1"/>
  <c r="AA111" i="3"/>
  <c r="AC111" i="3"/>
  <c r="P111" i="3"/>
  <c r="Q111" i="3" s="1"/>
  <c r="R111" i="3" s="1"/>
  <c r="AD111" i="3"/>
  <c r="Z111" i="3"/>
  <c r="U29" i="3"/>
  <c r="D30" i="3" s="1"/>
  <c r="AG30" i="3"/>
  <c r="AH30" i="3"/>
  <c r="Y28" i="3"/>
  <c r="S110" i="3"/>
  <c r="T109" i="3"/>
  <c r="E30" i="3" l="1"/>
  <c r="H30" i="3" s="1"/>
  <c r="K30" i="3" s="1"/>
  <c r="AD112" i="3"/>
  <c r="P112" i="3"/>
  <c r="Q112" i="3" s="1"/>
  <c r="R112" i="3" s="1"/>
  <c r="AA112" i="3"/>
  <c r="Z112" i="3"/>
  <c r="A113" i="3"/>
  <c r="B113" i="3" s="1"/>
  <c r="AC112" i="3"/>
  <c r="G30" i="3"/>
  <c r="T110" i="3"/>
  <c r="S111" i="3"/>
  <c r="F30" i="3" l="1"/>
  <c r="AC113" i="3"/>
  <c r="AA113" i="3"/>
  <c r="A114" i="3"/>
  <c r="B114" i="3" s="1"/>
  <c r="Z113" i="3"/>
  <c r="P113" i="3"/>
  <c r="Q113" i="3" s="1"/>
  <c r="R113" i="3" s="1"/>
  <c r="AD113" i="3"/>
  <c r="S112" i="3"/>
  <c r="T111" i="3"/>
  <c r="I30" i="3"/>
  <c r="J30" i="3"/>
  <c r="M30" i="3"/>
  <c r="N30" i="3" s="1"/>
  <c r="V30" i="3"/>
  <c r="AE30" i="3"/>
  <c r="W30" i="3" l="1"/>
  <c r="P114" i="3"/>
  <c r="Q114" i="3" s="1"/>
  <c r="R114" i="3" s="1"/>
  <c r="AD114" i="3"/>
  <c r="Z114" i="3"/>
  <c r="AC114" i="3"/>
  <c r="AA114" i="3"/>
  <c r="A115" i="3"/>
  <c r="B115" i="3" s="1"/>
  <c r="S113" i="3"/>
  <c r="T112" i="3"/>
  <c r="L30" i="3"/>
  <c r="AA115" i="3" l="1"/>
  <c r="A116" i="3"/>
  <c r="B116" i="3" s="1"/>
  <c r="Z115" i="3"/>
  <c r="AD115" i="3"/>
  <c r="P115" i="3"/>
  <c r="Q115" i="3" s="1"/>
  <c r="R115" i="3" s="1"/>
  <c r="AC115" i="3"/>
  <c r="T113" i="3"/>
  <c r="S114" i="3"/>
  <c r="U30" i="3"/>
  <c r="D31" i="3" s="1"/>
  <c r="AG31" i="3"/>
  <c r="AH31" i="3"/>
  <c r="Y29" i="3"/>
  <c r="E31" i="3" l="1"/>
  <c r="H31" i="3" s="1"/>
  <c r="K31" i="3" s="1"/>
  <c r="AD116" i="3"/>
  <c r="P116" i="3"/>
  <c r="Q116" i="3" s="1"/>
  <c r="R116" i="3" s="1"/>
  <c r="AA116" i="3"/>
  <c r="A117" i="3"/>
  <c r="B117" i="3" s="1"/>
  <c r="AC116" i="3"/>
  <c r="Z116" i="3"/>
  <c r="S115" i="3"/>
  <c r="T114" i="3"/>
  <c r="G31" i="3"/>
  <c r="F31" i="3" l="1"/>
  <c r="A118" i="3"/>
  <c r="B118" i="3" s="1"/>
  <c r="Z117" i="3"/>
  <c r="P117" i="3"/>
  <c r="Q117" i="3" s="1"/>
  <c r="R117" i="3" s="1"/>
  <c r="AC117" i="3"/>
  <c r="AD117" i="3"/>
  <c r="AA117" i="3"/>
  <c r="S116" i="3"/>
  <c r="T115" i="3"/>
  <c r="V31" i="3"/>
  <c r="AE31" i="3"/>
  <c r="I31" i="3"/>
  <c r="J31" i="3"/>
  <c r="M31" i="3"/>
  <c r="N31" i="3" s="1"/>
  <c r="P118" i="3" l="1"/>
  <c r="Q118" i="3" s="1"/>
  <c r="R118" i="3" s="1"/>
  <c r="Z118" i="3"/>
  <c r="AA118" i="3"/>
  <c r="AC118" i="3"/>
  <c r="A119" i="3"/>
  <c r="B119" i="3" s="1"/>
  <c r="AD118" i="3"/>
  <c r="L31" i="3"/>
  <c r="S117" i="3"/>
  <c r="T116" i="3"/>
  <c r="W31" i="3"/>
  <c r="S118" i="3" l="1"/>
  <c r="T117" i="3"/>
  <c r="AG32" i="3"/>
  <c r="AH32" i="3"/>
  <c r="U31" i="3"/>
  <c r="E32" i="3" s="1"/>
  <c r="H32" i="3" s="1"/>
  <c r="Y30" i="3"/>
  <c r="AD119" i="3"/>
  <c r="Z119" i="3"/>
  <c r="AC119" i="3"/>
  <c r="P119" i="3"/>
  <c r="Q119" i="3" s="1"/>
  <c r="R119" i="3" s="1"/>
  <c r="AA119" i="3"/>
  <c r="A120" i="3"/>
  <c r="B120" i="3" s="1"/>
  <c r="D32" i="3" l="1"/>
  <c r="F32" i="3" s="1"/>
  <c r="K32" i="3"/>
  <c r="T118" i="3"/>
  <c r="S119" i="3"/>
  <c r="P120" i="3"/>
  <c r="Q120" i="3" s="1"/>
  <c r="R120" i="3" s="1"/>
  <c r="Z120" i="3"/>
  <c r="AA120" i="3"/>
  <c r="AD120" i="3"/>
  <c r="A121" i="3"/>
  <c r="B121" i="3" s="1"/>
  <c r="AC120" i="3"/>
  <c r="G32" i="3" l="1"/>
  <c r="I32" i="3" s="1"/>
  <c r="A122" i="3"/>
  <c r="B122" i="3" s="1"/>
  <c r="P121" i="3"/>
  <c r="Q121" i="3" s="1"/>
  <c r="R121" i="3" s="1"/>
  <c r="AC121" i="3"/>
  <c r="AD121" i="3"/>
  <c r="AA121" i="3"/>
  <c r="Z121" i="3"/>
  <c r="V32" i="3"/>
  <c r="AE32" i="3"/>
  <c r="T119" i="3"/>
  <c r="S120" i="3"/>
  <c r="M32" i="3" l="1"/>
  <c r="N32" i="3" s="1"/>
  <c r="J32" i="3"/>
  <c r="L32" i="3" s="1"/>
  <c r="W32" i="3"/>
  <c r="AD122" i="3"/>
  <c r="A123" i="3"/>
  <c r="B123" i="3" s="1"/>
  <c r="Z122" i="3"/>
  <c r="AA122" i="3"/>
  <c r="P122" i="3"/>
  <c r="Q122" i="3" s="1"/>
  <c r="R122" i="3" s="1"/>
  <c r="AC122" i="3"/>
  <c r="S121" i="3"/>
  <c r="T120" i="3"/>
  <c r="T121" i="3" l="1"/>
  <c r="S122" i="3"/>
  <c r="AA123" i="3"/>
  <c r="P123" i="3"/>
  <c r="Q123" i="3" s="1"/>
  <c r="R123" i="3" s="1"/>
  <c r="A124" i="3"/>
  <c r="B124" i="3" s="1"/>
  <c r="Z123" i="3"/>
  <c r="AC123" i="3"/>
  <c r="AD123" i="3"/>
  <c r="AH33" i="3"/>
  <c r="AG33" i="3"/>
  <c r="U32" i="3"/>
  <c r="D33" i="3" s="1"/>
  <c r="Y31" i="3"/>
  <c r="E33" i="3" l="1"/>
  <c r="H33" i="3" s="1"/>
  <c r="K33" i="3" s="1"/>
  <c r="A125" i="3"/>
  <c r="B125" i="3" s="1"/>
  <c r="P124" i="3"/>
  <c r="Q124" i="3" s="1"/>
  <c r="R124" i="3" s="1"/>
  <c r="AC124" i="3"/>
  <c r="AA124" i="3"/>
  <c r="Z124" i="3"/>
  <c r="AD124" i="3"/>
  <c r="T122" i="3"/>
  <c r="S123" i="3"/>
  <c r="G33" i="3"/>
  <c r="F33" i="3" l="1"/>
  <c r="P125" i="3"/>
  <c r="Q125" i="3" s="1"/>
  <c r="R125" i="3" s="1"/>
  <c r="Z125" i="3"/>
  <c r="AC125" i="3"/>
  <c r="AD125" i="3"/>
  <c r="AA125" i="3"/>
  <c r="A126" i="3"/>
  <c r="B126" i="3" s="1"/>
  <c r="S124" i="3"/>
  <c r="T123" i="3"/>
  <c r="I33" i="3"/>
  <c r="J33" i="3"/>
  <c r="M33" i="3"/>
  <c r="N33" i="3" s="1"/>
  <c r="V33" i="3"/>
  <c r="AE33" i="3"/>
  <c r="W33" i="3" l="1"/>
  <c r="AA126" i="3"/>
  <c r="P126" i="3"/>
  <c r="Q126" i="3" s="1"/>
  <c r="R126" i="3" s="1"/>
  <c r="Z126" i="3"/>
  <c r="AC126" i="3"/>
  <c r="A127" i="3"/>
  <c r="B127" i="3" s="1"/>
  <c r="AD126" i="3"/>
  <c r="L33" i="3"/>
  <c r="S125" i="3"/>
  <c r="T124" i="3"/>
  <c r="Z127" i="3" l="1"/>
  <c r="AC127" i="3"/>
  <c r="P127" i="3"/>
  <c r="Q127" i="3" s="1"/>
  <c r="R127" i="3" s="1"/>
  <c r="AD127" i="3"/>
  <c r="A128" i="3"/>
  <c r="B128" i="3" s="1"/>
  <c r="AA127" i="3"/>
  <c r="AH34" i="3"/>
  <c r="AG34" i="3"/>
  <c r="U33" i="3"/>
  <c r="D34" i="3" s="1"/>
  <c r="Y32" i="3"/>
  <c r="S126" i="3"/>
  <c r="T125" i="3"/>
  <c r="G34" i="3" l="1"/>
  <c r="P128" i="3"/>
  <c r="Q128" i="3" s="1"/>
  <c r="R128" i="3" s="1"/>
  <c r="Z128" i="3"/>
  <c r="AC128" i="3"/>
  <c r="AA128" i="3"/>
  <c r="A129" i="3"/>
  <c r="B129" i="3" s="1"/>
  <c r="AD128" i="3"/>
  <c r="E34" i="3"/>
  <c r="H34" i="3" s="1"/>
  <c r="S127" i="3"/>
  <c r="T126" i="3"/>
  <c r="F34" i="3" l="1"/>
  <c r="I34" i="3"/>
  <c r="J34" i="3"/>
  <c r="M34" i="3"/>
  <c r="N34" i="3" s="1"/>
  <c r="K34" i="3"/>
  <c r="P129" i="3"/>
  <c r="Q129" i="3" s="1"/>
  <c r="R129" i="3" s="1"/>
  <c r="AC129" i="3"/>
  <c r="Z129" i="3"/>
  <c r="A130" i="3"/>
  <c r="B130" i="3" s="1"/>
  <c r="AD129" i="3"/>
  <c r="AA129" i="3"/>
  <c r="S128" i="3"/>
  <c r="T127" i="3"/>
  <c r="A131" i="3" l="1"/>
  <c r="B131" i="3" s="1"/>
  <c r="AD130" i="3"/>
  <c r="P130" i="3"/>
  <c r="Q130" i="3" s="1"/>
  <c r="R130" i="3" s="1"/>
  <c r="AC130" i="3"/>
  <c r="AA130" i="3"/>
  <c r="Z130" i="3"/>
  <c r="S129" i="3"/>
  <c r="T128" i="3"/>
  <c r="V34" i="3"/>
  <c r="W34" i="3" s="1"/>
  <c r="AE34" i="3"/>
  <c r="L34" i="3"/>
  <c r="T129" i="3" l="1"/>
  <c r="S130" i="3"/>
  <c r="AC131" i="3"/>
  <c r="AD131" i="3"/>
  <c r="A132" i="3"/>
  <c r="B132" i="3" s="1"/>
  <c r="Z131" i="3"/>
  <c r="P131" i="3"/>
  <c r="Q131" i="3" s="1"/>
  <c r="R131" i="3" s="1"/>
  <c r="AA131" i="3"/>
  <c r="U34" i="3"/>
  <c r="E35" i="3" s="1"/>
  <c r="H35" i="3" s="1"/>
  <c r="AH35" i="3"/>
  <c r="AG35" i="3"/>
  <c r="Y33" i="3"/>
  <c r="D35" i="3" l="1"/>
  <c r="G35" i="3" s="1"/>
  <c r="AD132" i="3"/>
  <c r="P132" i="3"/>
  <c r="Q132" i="3" s="1"/>
  <c r="R132" i="3" s="1"/>
  <c r="Z132" i="3"/>
  <c r="A133" i="3"/>
  <c r="B133" i="3" s="1"/>
  <c r="AC132" i="3"/>
  <c r="AA132" i="3"/>
  <c r="T130" i="3"/>
  <c r="S131" i="3"/>
  <c r="K35" i="3"/>
  <c r="F35" i="3" l="1"/>
  <c r="AD133" i="3"/>
  <c r="P133" i="3"/>
  <c r="Q133" i="3" s="1"/>
  <c r="R133" i="3" s="1"/>
  <c r="Z133" i="3"/>
  <c r="A134" i="3"/>
  <c r="B134" i="3" s="1"/>
  <c r="AA133" i="3"/>
  <c r="AC133" i="3"/>
  <c r="S132" i="3"/>
  <c r="T131" i="3"/>
  <c r="I35" i="3"/>
  <c r="J35" i="3"/>
  <c r="M35" i="3"/>
  <c r="N35" i="3" s="1"/>
  <c r="V35" i="3"/>
  <c r="AE35" i="3"/>
  <c r="W35" i="3" l="1"/>
  <c r="AC134" i="3"/>
  <c r="AD134" i="3"/>
  <c r="AA134" i="3"/>
  <c r="A135" i="3"/>
  <c r="B135" i="3" s="1"/>
  <c r="P134" i="3"/>
  <c r="Q134" i="3" s="1"/>
  <c r="R134" i="3" s="1"/>
  <c r="Z134" i="3"/>
  <c r="L35" i="3"/>
  <c r="S133" i="3"/>
  <c r="T132" i="3"/>
  <c r="AD135" i="3" l="1"/>
  <c r="P135" i="3"/>
  <c r="Q135" i="3" s="1"/>
  <c r="R135" i="3" s="1"/>
  <c r="A136" i="3"/>
  <c r="B136" i="3" s="1"/>
  <c r="AA135" i="3"/>
  <c r="AC135" i="3"/>
  <c r="Z135" i="3"/>
  <c r="S134" i="3"/>
  <c r="T133" i="3"/>
  <c r="U35" i="3"/>
  <c r="E36" i="3" s="1"/>
  <c r="H36" i="3" s="1"/>
  <c r="AG36" i="3"/>
  <c r="AH36" i="3"/>
  <c r="Y34" i="3"/>
  <c r="K36" i="3" l="1"/>
  <c r="A137" i="3"/>
  <c r="B137" i="3" s="1"/>
  <c r="P136" i="3"/>
  <c r="Q136" i="3" s="1"/>
  <c r="R136" i="3" s="1"/>
  <c r="AA136" i="3"/>
  <c r="Z136" i="3"/>
  <c r="AD136" i="3"/>
  <c r="AC136" i="3"/>
  <c r="T134" i="3"/>
  <c r="S135" i="3"/>
  <c r="D36" i="3"/>
  <c r="T135" i="3" l="1"/>
  <c r="S136" i="3"/>
  <c r="F36" i="3"/>
  <c r="G36" i="3"/>
  <c r="P137" i="3"/>
  <c r="Q137" i="3" s="1"/>
  <c r="R137" i="3" s="1"/>
  <c r="Z137" i="3"/>
  <c r="AA137" i="3"/>
  <c r="AD137" i="3"/>
  <c r="AC137" i="3"/>
  <c r="A138" i="3"/>
  <c r="B138" i="3" s="1"/>
  <c r="V36" i="3"/>
  <c r="AE36" i="3"/>
  <c r="A139" i="3" l="1"/>
  <c r="B139" i="3" s="1"/>
  <c r="AC138" i="3"/>
  <c r="P138" i="3"/>
  <c r="Q138" i="3" s="1"/>
  <c r="R138" i="3" s="1"/>
  <c r="AA138" i="3"/>
  <c r="AD138" i="3"/>
  <c r="Z138" i="3"/>
  <c r="S137" i="3"/>
  <c r="T136" i="3"/>
  <c r="I36" i="3"/>
  <c r="W36" i="3" s="1"/>
  <c r="J36" i="3"/>
  <c r="M36" i="3"/>
  <c r="N36" i="3" s="1"/>
  <c r="L36" i="3" l="1"/>
  <c r="T137" i="3"/>
  <c r="S138" i="3"/>
  <c r="A140" i="3"/>
  <c r="B140" i="3" s="1"/>
  <c r="AA139" i="3"/>
  <c r="AD139" i="3"/>
  <c r="AC139" i="3"/>
  <c r="Z139" i="3"/>
  <c r="P139" i="3"/>
  <c r="Q139" i="3" s="1"/>
  <c r="R139" i="3" s="1"/>
  <c r="P140" i="3" l="1"/>
  <c r="Q140" i="3" s="1"/>
  <c r="R140" i="3" s="1"/>
  <c r="AD140" i="3"/>
  <c r="A141" i="3"/>
  <c r="B141" i="3" s="1"/>
  <c r="AA140" i="3"/>
  <c r="Z140" i="3"/>
  <c r="AC140" i="3"/>
  <c r="AH37" i="3"/>
  <c r="AG37" i="3"/>
  <c r="U36" i="3"/>
  <c r="E37" i="3" s="1"/>
  <c r="H37" i="3" s="1"/>
  <c r="Y35" i="3"/>
  <c r="S139" i="3"/>
  <c r="T138" i="3"/>
  <c r="D37" i="3" l="1"/>
  <c r="G37" i="3" s="1"/>
  <c r="A142" i="3"/>
  <c r="B142" i="3" s="1"/>
  <c r="P141" i="3"/>
  <c r="Q141" i="3" s="1"/>
  <c r="R141" i="3" s="1"/>
  <c r="AC141" i="3"/>
  <c r="Z141" i="3"/>
  <c r="AD141" i="3"/>
  <c r="AA141" i="3"/>
  <c r="K37" i="3"/>
  <c r="S140" i="3"/>
  <c r="T139" i="3"/>
  <c r="F37" i="3" l="1"/>
  <c r="A143" i="3"/>
  <c r="B143" i="3" s="1"/>
  <c r="AA142" i="3"/>
  <c r="P142" i="3"/>
  <c r="Q142" i="3" s="1"/>
  <c r="R142" i="3" s="1"/>
  <c r="AC142" i="3"/>
  <c r="AD142" i="3"/>
  <c r="Z142" i="3"/>
  <c r="I37" i="3"/>
  <c r="J37" i="3"/>
  <c r="M37" i="3"/>
  <c r="N37" i="3" s="1"/>
  <c r="V37" i="3"/>
  <c r="AE37" i="3"/>
  <c r="T140" i="3"/>
  <c r="S141" i="3"/>
  <c r="W37" i="3" l="1"/>
  <c r="P143" i="3"/>
  <c r="Q143" i="3" s="1"/>
  <c r="R143" i="3" s="1"/>
  <c r="AC143" i="3"/>
  <c r="A144" i="3"/>
  <c r="B144" i="3" s="1"/>
  <c r="AD143" i="3"/>
  <c r="AA143" i="3"/>
  <c r="Z143" i="3"/>
  <c r="T141" i="3"/>
  <c r="S142" i="3"/>
  <c r="L37" i="3"/>
  <c r="T142" i="3" l="1"/>
  <c r="S143" i="3"/>
  <c r="Z144" i="3"/>
  <c r="P144" i="3"/>
  <c r="Q144" i="3" s="1"/>
  <c r="R144" i="3" s="1"/>
  <c r="A145" i="3"/>
  <c r="B145" i="3" s="1"/>
  <c r="AA144" i="3"/>
  <c r="AC144" i="3"/>
  <c r="AD144" i="3"/>
  <c r="AH38" i="3"/>
  <c r="AG38" i="3"/>
  <c r="U37" i="3"/>
  <c r="D38" i="3" s="1"/>
  <c r="Y36" i="3"/>
  <c r="G38" i="3" l="1"/>
  <c r="P145" i="3"/>
  <c r="Q145" i="3" s="1"/>
  <c r="R145" i="3" s="1"/>
  <c r="A146" i="3"/>
  <c r="B146" i="3" s="1"/>
  <c r="Z145" i="3"/>
  <c r="AA145" i="3"/>
  <c r="AC145" i="3"/>
  <c r="AD145" i="3"/>
  <c r="T143" i="3"/>
  <c r="S144" i="3"/>
  <c r="E38" i="3"/>
  <c r="H38" i="3" s="1"/>
  <c r="Z146" i="3" l="1"/>
  <c r="A147" i="3"/>
  <c r="B147" i="3" s="1"/>
  <c r="AA146" i="3"/>
  <c r="AD146" i="3"/>
  <c r="P146" i="3"/>
  <c r="Q146" i="3" s="1"/>
  <c r="R146" i="3" s="1"/>
  <c r="AC146" i="3"/>
  <c r="K38" i="3"/>
  <c r="F38" i="3"/>
  <c r="I38" i="3"/>
  <c r="J38" i="3"/>
  <c r="M38" i="3"/>
  <c r="N38" i="3" s="1"/>
  <c r="T144" i="3"/>
  <c r="S145" i="3"/>
  <c r="Z147" i="3" l="1"/>
  <c r="P147" i="3"/>
  <c r="Q147" i="3" s="1"/>
  <c r="R147" i="3" s="1"/>
  <c r="AC147" i="3"/>
  <c r="A148" i="3"/>
  <c r="B148" i="3" s="1"/>
  <c r="AD147" i="3"/>
  <c r="AA147" i="3"/>
  <c r="S146" i="3"/>
  <c r="T145" i="3"/>
  <c r="L38" i="3"/>
  <c r="V38" i="3"/>
  <c r="W38" i="3" s="1"/>
  <c r="AE38" i="3"/>
  <c r="AD148" i="3" l="1"/>
  <c r="P148" i="3"/>
  <c r="Q148" i="3" s="1"/>
  <c r="R148" i="3" s="1"/>
  <c r="Z148" i="3"/>
  <c r="AC148" i="3"/>
  <c r="AA148" i="3"/>
  <c r="A149" i="3"/>
  <c r="B149" i="3" s="1"/>
  <c r="S147" i="3"/>
  <c r="T146" i="3"/>
  <c r="U38" i="3"/>
  <c r="D39" i="3" s="1"/>
  <c r="AG39" i="3"/>
  <c r="AH39" i="3"/>
  <c r="Y37" i="3"/>
  <c r="G39" i="3" l="1"/>
  <c r="AD149" i="3"/>
  <c r="AC149" i="3"/>
  <c r="P149" i="3"/>
  <c r="Q149" i="3" s="1"/>
  <c r="R149" i="3" s="1"/>
  <c r="AA149" i="3"/>
  <c r="Z149" i="3"/>
  <c r="A150" i="3"/>
  <c r="B150" i="3" s="1"/>
  <c r="T147" i="3"/>
  <c r="S148" i="3"/>
  <c r="E39" i="3"/>
  <c r="H39" i="3" s="1"/>
  <c r="AA150" i="3" l="1"/>
  <c r="P150" i="3"/>
  <c r="Q150" i="3" s="1"/>
  <c r="R150" i="3" s="1"/>
  <c r="Z150" i="3"/>
  <c r="AD150" i="3"/>
  <c r="AC150" i="3"/>
  <c r="A151" i="3"/>
  <c r="B151" i="3" s="1"/>
  <c r="F39" i="3"/>
  <c r="K39" i="3"/>
  <c r="I39" i="3"/>
  <c r="J39" i="3"/>
  <c r="M39" i="3"/>
  <c r="N39" i="3" s="1"/>
  <c r="T148" i="3"/>
  <c r="S149" i="3"/>
  <c r="S150" i="3" l="1"/>
  <c r="T149" i="3"/>
  <c r="P151" i="3"/>
  <c r="Q151" i="3" s="1"/>
  <c r="R151" i="3" s="1"/>
  <c r="AC151" i="3"/>
  <c r="AD151" i="3"/>
  <c r="Z151" i="3"/>
  <c r="A152" i="3"/>
  <c r="B152" i="3" s="1"/>
  <c r="AA151" i="3"/>
  <c r="L39" i="3"/>
  <c r="V39" i="3"/>
  <c r="W39" i="3" s="1"/>
  <c r="AE39" i="3"/>
  <c r="S151" i="3" l="1"/>
  <c r="T150" i="3"/>
  <c r="A153" i="3"/>
  <c r="B153" i="3" s="1"/>
  <c r="AC152" i="3"/>
  <c r="AA152" i="3"/>
  <c r="P152" i="3"/>
  <c r="Q152" i="3" s="1"/>
  <c r="R152" i="3" s="1"/>
  <c r="AD152" i="3"/>
  <c r="Z152" i="3"/>
  <c r="U39" i="3"/>
  <c r="E40" i="3" s="1"/>
  <c r="H40" i="3" s="1"/>
  <c r="AH40" i="3"/>
  <c r="AG40" i="3"/>
  <c r="Y38" i="3"/>
  <c r="D40" i="3" l="1"/>
  <c r="F40" i="3" s="1"/>
  <c r="A154" i="3"/>
  <c r="B154" i="3" s="1"/>
  <c r="P153" i="3"/>
  <c r="Q153" i="3" s="1"/>
  <c r="R153" i="3" s="1"/>
  <c r="AD153" i="3"/>
  <c r="Z153" i="3"/>
  <c r="AA153" i="3"/>
  <c r="AC153" i="3"/>
  <c r="S152" i="3"/>
  <c r="T151" i="3"/>
  <c r="K40" i="3"/>
  <c r="G40" i="3" l="1"/>
  <c r="M40" i="3" s="1"/>
  <c r="N40" i="3" s="1"/>
  <c r="P154" i="3"/>
  <c r="Q154" i="3" s="1"/>
  <c r="R154" i="3" s="1"/>
  <c r="AD154" i="3"/>
  <c r="Z154" i="3"/>
  <c r="AA154" i="3"/>
  <c r="A155" i="3"/>
  <c r="B155" i="3" s="1"/>
  <c r="AC154" i="3"/>
  <c r="S153" i="3"/>
  <c r="T152" i="3"/>
  <c r="V40" i="3"/>
  <c r="AE40" i="3"/>
  <c r="I40" i="3" l="1"/>
  <c r="W40" i="3" s="1"/>
  <c r="J40" i="3"/>
  <c r="L40" i="3" s="1"/>
  <c r="Z155" i="3"/>
  <c r="P155" i="3"/>
  <c r="Q155" i="3" s="1"/>
  <c r="R155" i="3" s="1"/>
  <c r="A156" i="3"/>
  <c r="B156" i="3" s="1"/>
  <c r="AD155" i="3"/>
  <c r="AC155" i="3"/>
  <c r="AA155" i="3"/>
  <c r="T153" i="3"/>
  <c r="S154" i="3"/>
  <c r="U40" i="3" l="1"/>
  <c r="D41" i="3" s="1"/>
  <c r="AG41" i="3"/>
  <c r="AH41" i="3"/>
  <c r="Y39" i="3"/>
  <c r="S155" i="3"/>
  <c r="T154" i="3"/>
  <c r="AA156" i="3"/>
  <c r="A157" i="3"/>
  <c r="B157" i="3" s="1"/>
  <c r="AD156" i="3"/>
  <c r="Z156" i="3"/>
  <c r="AC156" i="3"/>
  <c r="P156" i="3"/>
  <c r="Q156" i="3" s="1"/>
  <c r="R156" i="3" s="1"/>
  <c r="G41" i="3" l="1"/>
  <c r="A158" i="3"/>
  <c r="B158" i="3" s="1"/>
  <c r="AD157" i="3"/>
  <c r="P157" i="3"/>
  <c r="Q157" i="3" s="1"/>
  <c r="R157" i="3" s="1"/>
  <c r="AA157" i="3"/>
  <c r="Z157" i="3"/>
  <c r="AC157" i="3"/>
  <c r="E41" i="3"/>
  <c r="H41" i="3" s="1"/>
  <c r="T155" i="3"/>
  <c r="S156" i="3"/>
  <c r="F41" i="3" l="1"/>
  <c r="S157" i="3"/>
  <c r="T156" i="3"/>
  <c r="A159" i="3"/>
  <c r="B159" i="3" s="1"/>
  <c r="P158" i="3"/>
  <c r="Q158" i="3" s="1"/>
  <c r="R158" i="3" s="1"/>
  <c r="AA158" i="3"/>
  <c r="AC158" i="3"/>
  <c r="Z158" i="3"/>
  <c r="AD158" i="3"/>
  <c r="I41" i="3"/>
  <c r="J41" i="3"/>
  <c r="M41" i="3"/>
  <c r="N41" i="3" s="1"/>
  <c r="K41" i="3"/>
  <c r="V41" i="3" l="1"/>
  <c r="W41" i="3" s="1"/>
  <c r="AE41" i="3"/>
  <c r="L41" i="3"/>
  <c r="A160" i="3"/>
  <c r="B160" i="3" s="1"/>
  <c r="AC159" i="3"/>
  <c r="P159" i="3"/>
  <c r="Q159" i="3" s="1"/>
  <c r="R159" i="3" s="1"/>
  <c r="AD159" i="3"/>
  <c r="Z159" i="3"/>
  <c r="AA159" i="3"/>
  <c r="S158" i="3"/>
  <c r="T157" i="3"/>
  <c r="AA160" i="3" l="1"/>
  <c r="P160" i="3"/>
  <c r="Q160" i="3" s="1"/>
  <c r="R160" i="3" s="1"/>
  <c r="Z160" i="3"/>
  <c r="AC160" i="3"/>
  <c r="AD160" i="3"/>
  <c r="A161" i="3"/>
  <c r="B161" i="3" s="1"/>
  <c r="U41" i="3"/>
  <c r="E42" i="3" s="1"/>
  <c r="H42" i="3" s="1"/>
  <c r="AG42" i="3"/>
  <c r="AH42" i="3"/>
  <c r="Y40" i="3"/>
  <c r="T158" i="3"/>
  <c r="S159" i="3"/>
  <c r="D42" i="3" l="1"/>
  <c r="G42" i="3" s="1"/>
  <c r="Z161" i="3"/>
  <c r="AA161" i="3"/>
  <c r="P161" i="3"/>
  <c r="Q161" i="3" s="1"/>
  <c r="R161" i="3" s="1"/>
  <c r="A162" i="3"/>
  <c r="B162" i="3" s="1"/>
  <c r="AC161" i="3"/>
  <c r="AD161" i="3"/>
  <c r="S160" i="3"/>
  <c r="T159" i="3"/>
  <c r="K42" i="3"/>
  <c r="F42" i="3" l="1"/>
  <c r="AD162" i="3"/>
  <c r="Z162" i="3"/>
  <c r="P162" i="3"/>
  <c r="Q162" i="3" s="1"/>
  <c r="R162" i="3" s="1"/>
  <c r="AC162" i="3"/>
  <c r="AA162" i="3"/>
  <c r="A163" i="3"/>
  <c r="B163" i="3" s="1"/>
  <c r="V42" i="3"/>
  <c r="AE42" i="3"/>
  <c r="S161" i="3"/>
  <c r="T160" i="3"/>
  <c r="I42" i="3"/>
  <c r="J42" i="3"/>
  <c r="M42" i="3"/>
  <c r="N42" i="3" s="1"/>
  <c r="W42" i="3" l="1"/>
  <c r="L42" i="3"/>
  <c r="T161" i="3"/>
  <c r="S162" i="3"/>
  <c r="AD163" i="3"/>
  <c r="A164" i="3"/>
  <c r="B164" i="3" s="1"/>
  <c r="AC163" i="3"/>
  <c r="Z163" i="3"/>
  <c r="P163" i="3"/>
  <c r="Q163" i="3" s="1"/>
  <c r="R163" i="3" s="1"/>
  <c r="AA163" i="3"/>
  <c r="P164" i="3" l="1"/>
  <c r="Q164" i="3" s="1"/>
  <c r="R164" i="3" s="1"/>
  <c r="AA164" i="3"/>
  <c r="AD164" i="3"/>
  <c r="Z164" i="3"/>
  <c r="A165" i="3"/>
  <c r="B165" i="3" s="1"/>
  <c r="AC164" i="3"/>
  <c r="AG43" i="3"/>
  <c r="AH43" i="3"/>
  <c r="U42" i="3"/>
  <c r="E43" i="3" s="1"/>
  <c r="H43" i="3" s="1"/>
  <c r="Y41" i="3"/>
  <c r="S163" i="3"/>
  <c r="T162" i="3"/>
  <c r="K43" i="3" l="1"/>
  <c r="AD165" i="3"/>
  <c r="A166" i="3"/>
  <c r="B166" i="3" s="1"/>
  <c r="AA165" i="3"/>
  <c r="AC165" i="3"/>
  <c r="Z165" i="3"/>
  <c r="P165" i="3"/>
  <c r="Q165" i="3" s="1"/>
  <c r="R165" i="3" s="1"/>
  <c r="D43" i="3"/>
  <c r="S164" i="3"/>
  <c r="T163" i="3"/>
  <c r="A167" i="3" l="1"/>
  <c r="B167" i="3" s="1"/>
  <c r="AA166" i="3"/>
  <c r="AC166" i="3"/>
  <c r="P166" i="3"/>
  <c r="Q166" i="3" s="1"/>
  <c r="R166" i="3" s="1"/>
  <c r="AD166" i="3"/>
  <c r="Z166" i="3"/>
  <c r="T164" i="3"/>
  <c r="S165" i="3"/>
  <c r="V43" i="3"/>
  <c r="AE43" i="3"/>
  <c r="F43" i="3"/>
  <c r="G43" i="3"/>
  <c r="P167" i="3" l="1"/>
  <c r="Q167" i="3" s="1"/>
  <c r="R167" i="3" s="1"/>
  <c r="AA167" i="3"/>
  <c r="AC167" i="3"/>
  <c r="Z167" i="3"/>
  <c r="A168" i="3"/>
  <c r="B168" i="3" s="1"/>
  <c r="AD167" i="3"/>
  <c r="S166" i="3"/>
  <c r="T165" i="3"/>
  <c r="I43" i="3"/>
  <c r="W43" i="3" s="1"/>
  <c r="J43" i="3"/>
  <c r="M43" i="3"/>
  <c r="N43" i="3" s="1"/>
  <c r="A169" i="3" l="1"/>
  <c r="B169" i="3" s="1"/>
  <c r="Z168" i="3"/>
  <c r="P168" i="3"/>
  <c r="Q168" i="3" s="1"/>
  <c r="R168" i="3" s="1"/>
  <c r="AD168" i="3"/>
  <c r="AC168" i="3"/>
  <c r="AA168" i="3"/>
  <c r="L43" i="3"/>
  <c r="T166" i="3"/>
  <c r="S167" i="3"/>
  <c r="AD169" i="3" l="1"/>
  <c r="P169" i="3"/>
  <c r="Q169" i="3" s="1"/>
  <c r="R169" i="3" s="1"/>
  <c r="A170" i="3"/>
  <c r="B170" i="3" s="1"/>
  <c r="Z169" i="3"/>
  <c r="AA169" i="3"/>
  <c r="AC169" i="3"/>
  <c r="AG44" i="3"/>
  <c r="AH44" i="3"/>
  <c r="U43" i="3"/>
  <c r="E44" i="3" s="1"/>
  <c r="H44" i="3" s="1"/>
  <c r="Y42" i="3"/>
  <c r="S168" i="3"/>
  <c r="T167" i="3"/>
  <c r="D44" i="3" l="1"/>
  <c r="F44" i="3" s="1"/>
  <c r="K44" i="3"/>
  <c r="AA170" i="3"/>
  <c r="AC170" i="3"/>
  <c r="P170" i="3"/>
  <c r="Q170" i="3" s="1"/>
  <c r="R170" i="3" s="1"/>
  <c r="A171" i="3"/>
  <c r="B171" i="3" s="1"/>
  <c r="AD170" i="3"/>
  <c r="Z170" i="3"/>
  <c r="T168" i="3"/>
  <c r="S169" i="3"/>
  <c r="G44" i="3" l="1"/>
  <c r="J44" i="3" s="1"/>
  <c r="A172" i="3"/>
  <c r="B172" i="3" s="1"/>
  <c r="AD171" i="3"/>
  <c r="P171" i="3"/>
  <c r="Q171" i="3" s="1"/>
  <c r="R171" i="3" s="1"/>
  <c r="Z171" i="3"/>
  <c r="AA171" i="3"/>
  <c r="AC171" i="3"/>
  <c r="V44" i="3"/>
  <c r="AE44" i="3"/>
  <c r="T169" i="3"/>
  <c r="S170" i="3"/>
  <c r="M44" i="3" l="1"/>
  <c r="N44" i="3" s="1"/>
  <c r="I44" i="3"/>
  <c r="W44" i="3" s="1"/>
  <c r="A173" i="3"/>
  <c r="B173" i="3" s="1"/>
  <c r="AD172" i="3"/>
  <c r="P172" i="3"/>
  <c r="Q172" i="3" s="1"/>
  <c r="R172" i="3" s="1"/>
  <c r="AA172" i="3"/>
  <c r="AC172" i="3"/>
  <c r="Z172" i="3"/>
  <c r="T170" i="3"/>
  <c r="S171" i="3"/>
  <c r="L44" i="3"/>
  <c r="Z173" i="3" l="1"/>
  <c r="P173" i="3"/>
  <c r="Q173" i="3" s="1"/>
  <c r="R173" i="3" s="1"/>
  <c r="AD173" i="3"/>
  <c r="AA173" i="3"/>
  <c r="AC173" i="3"/>
  <c r="A174" i="3"/>
  <c r="B174" i="3" s="1"/>
  <c r="T171" i="3"/>
  <c r="S172" i="3"/>
  <c r="U44" i="3"/>
  <c r="E45" i="3" s="1"/>
  <c r="H45" i="3" s="1"/>
  <c r="AH45" i="3"/>
  <c r="AG45" i="3"/>
  <c r="Y43" i="3"/>
  <c r="D45" i="3" l="1"/>
  <c r="G45" i="3" s="1"/>
  <c r="K45" i="3"/>
  <c r="Z174" i="3"/>
  <c r="A175" i="3"/>
  <c r="B175" i="3" s="1"/>
  <c r="AD174" i="3"/>
  <c r="P174" i="3"/>
  <c r="Q174" i="3" s="1"/>
  <c r="R174" i="3" s="1"/>
  <c r="AA174" i="3"/>
  <c r="AC174" i="3"/>
  <c r="S173" i="3"/>
  <c r="T172" i="3"/>
  <c r="F45" i="3" l="1"/>
  <c r="P175" i="3"/>
  <c r="Q175" i="3" s="1"/>
  <c r="R175" i="3" s="1"/>
  <c r="A176" i="3"/>
  <c r="B176" i="3" s="1"/>
  <c r="AD175" i="3"/>
  <c r="AC175" i="3"/>
  <c r="AA175" i="3"/>
  <c r="Z175" i="3"/>
  <c r="I45" i="3"/>
  <c r="J45" i="3"/>
  <c r="M45" i="3"/>
  <c r="N45" i="3" s="1"/>
  <c r="S174" i="3"/>
  <c r="T173" i="3"/>
  <c r="V45" i="3"/>
  <c r="AE45" i="3"/>
  <c r="AD176" i="3" l="1"/>
  <c r="P176" i="3"/>
  <c r="Q176" i="3" s="1"/>
  <c r="R176" i="3" s="1"/>
  <c r="A177" i="3"/>
  <c r="B177" i="3" s="1"/>
  <c r="Z176" i="3"/>
  <c r="AC176" i="3"/>
  <c r="AA176" i="3"/>
  <c r="T174" i="3"/>
  <c r="S175" i="3"/>
  <c r="L45" i="3"/>
  <c r="W45" i="3"/>
  <c r="T175" i="3" l="1"/>
  <c r="S176" i="3"/>
  <c r="P177" i="3"/>
  <c r="Q177" i="3" s="1"/>
  <c r="R177" i="3" s="1"/>
  <c r="AA177" i="3"/>
  <c r="Z177" i="3"/>
  <c r="A178" i="3"/>
  <c r="B178" i="3" s="1"/>
  <c r="AC177" i="3"/>
  <c r="AD177" i="3"/>
  <c r="U45" i="3"/>
  <c r="D46" i="3" s="1"/>
  <c r="AG46" i="3"/>
  <c r="AH46" i="3"/>
  <c r="Y44" i="3"/>
  <c r="E46" i="3" l="1"/>
  <c r="H46" i="3" s="1"/>
  <c r="K46" i="3" s="1"/>
  <c r="G46" i="3"/>
  <c r="P178" i="3"/>
  <c r="Q178" i="3" s="1"/>
  <c r="R178" i="3" s="1"/>
  <c r="AA178" i="3"/>
  <c r="A179" i="3"/>
  <c r="B179" i="3" s="1"/>
  <c r="Z178" i="3"/>
  <c r="AD178" i="3"/>
  <c r="AC178" i="3"/>
  <c r="T176" i="3"/>
  <c r="S177" i="3"/>
  <c r="F46" i="3" l="1"/>
  <c r="P179" i="3"/>
  <c r="Q179" i="3" s="1"/>
  <c r="R179" i="3" s="1"/>
  <c r="A180" i="3"/>
  <c r="B180" i="3" s="1"/>
  <c r="AA179" i="3"/>
  <c r="Z179" i="3"/>
  <c r="AD179" i="3"/>
  <c r="AC179" i="3"/>
  <c r="I46" i="3"/>
  <c r="J46" i="3"/>
  <c r="M46" i="3"/>
  <c r="N46" i="3" s="1"/>
  <c r="V46" i="3"/>
  <c r="AE46" i="3"/>
  <c r="S178" i="3"/>
  <c r="T177" i="3"/>
  <c r="W46" i="3" l="1"/>
  <c r="AC180" i="3"/>
  <c r="A181" i="3"/>
  <c r="B181" i="3" s="1"/>
  <c r="AA180" i="3"/>
  <c r="AD180" i="3"/>
  <c r="Z180" i="3"/>
  <c r="P180" i="3"/>
  <c r="Q180" i="3" s="1"/>
  <c r="R180" i="3" s="1"/>
  <c r="T178" i="3"/>
  <c r="S179" i="3"/>
  <c r="L46" i="3"/>
  <c r="AA181" i="3" l="1"/>
  <c r="Z181" i="3"/>
  <c r="A182" i="3"/>
  <c r="B182" i="3" s="1"/>
  <c r="AD181" i="3"/>
  <c r="AC181" i="3"/>
  <c r="P181" i="3"/>
  <c r="Q181" i="3" s="1"/>
  <c r="R181" i="3" s="1"/>
  <c r="S180" i="3"/>
  <c r="T179" i="3"/>
  <c r="AG47" i="3"/>
  <c r="U46" i="3"/>
  <c r="D47" i="3" s="1"/>
  <c r="AH47" i="3"/>
  <c r="Y45" i="3"/>
  <c r="E47" i="3" l="1"/>
  <c r="H47" i="3" s="1"/>
  <c r="K47" i="3" s="1"/>
  <c r="A183" i="3"/>
  <c r="B183" i="3" s="1"/>
  <c r="AA182" i="3"/>
  <c r="P182" i="3"/>
  <c r="Q182" i="3" s="1"/>
  <c r="R182" i="3" s="1"/>
  <c r="Z182" i="3"/>
  <c r="AD182" i="3"/>
  <c r="AC182" i="3"/>
  <c r="T180" i="3"/>
  <c r="S181" i="3"/>
  <c r="G47" i="3"/>
  <c r="F47" i="3" l="1"/>
  <c r="Z183" i="3"/>
  <c r="AA183" i="3"/>
  <c r="AC183" i="3"/>
  <c r="A184" i="3"/>
  <c r="B184" i="3" s="1"/>
  <c r="P183" i="3"/>
  <c r="Q183" i="3" s="1"/>
  <c r="R183" i="3" s="1"/>
  <c r="AD183" i="3"/>
  <c r="S182" i="3"/>
  <c r="T181" i="3"/>
  <c r="I47" i="3"/>
  <c r="J47" i="3"/>
  <c r="M47" i="3"/>
  <c r="N47" i="3" s="1"/>
  <c r="V47" i="3"/>
  <c r="AE47" i="3"/>
  <c r="W47" i="3" l="1"/>
  <c r="AD184" i="3"/>
  <c r="Z184" i="3"/>
  <c r="P184" i="3"/>
  <c r="Q184" i="3" s="1"/>
  <c r="R184" i="3" s="1"/>
  <c r="AA184" i="3"/>
  <c r="A185" i="3"/>
  <c r="B185" i="3" s="1"/>
  <c r="AC184" i="3"/>
  <c r="L47" i="3"/>
  <c r="S183" i="3"/>
  <c r="T182" i="3"/>
  <c r="AD185" i="3" l="1"/>
  <c r="A186" i="3"/>
  <c r="B186" i="3" s="1"/>
  <c r="AC185" i="3"/>
  <c r="P185" i="3"/>
  <c r="Q185" i="3" s="1"/>
  <c r="R185" i="3" s="1"/>
  <c r="AA185" i="3"/>
  <c r="Z185" i="3"/>
  <c r="AG48" i="3"/>
  <c r="U47" i="3"/>
  <c r="E48" i="3" s="1"/>
  <c r="H48" i="3" s="1"/>
  <c r="AH48" i="3"/>
  <c r="Y46" i="3"/>
  <c r="S184" i="3"/>
  <c r="T183" i="3"/>
  <c r="AD186" i="3" l="1"/>
  <c r="Z186" i="3"/>
  <c r="A187" i="3"/>
  <c r="B187" i="3" s="1"/>
  <c r="P186" i="3"/>
  <c r="Q186" i="3" s="1"/>
  <c r="R186" i="3" s="1"/>
  <c r="AA186" i="3"/>
  <c r="AC186" i="3"/>
  <c r="K48" i="3"/>
  <c r="D48" i="3"/>
  <c r="T184" i="3"/>
  <c r="S185" i="3"/>
  <c r="P187" i="3" l="1"/>
  <c r="Q187" i="3" s="1"/>
  <c r="R187" i="3" s="1"/>
  <c r="AD187" i="3"/>
  <c r="A188" i="3"/>
  <c r="B188" i="3" s="1"/>
  <c r="AA187" i="3"/>
  <c r="AC187" i="3"/>
  <c r="Z187" i="3"/>
  <c r="S186" i="3"/>
  <c r="T185" i="3"/>
  <c r="V48" i="3"/>
  <c r="AE48" i="3"/>
  <c r="F48" i="3"/>
  <c r="G48" i="3"/>
  <c r="S187" i="3" l="1"/>
  <c r="T186" i="3"/>
  <c r="Z188" i="3"/>
  <c r="A189" i="3"/>
  <c r="B189" i="3" s="1"/>
  <c r="AA188" i="3"/>
  <c r="P188" i="3"/>
  <c r="Q188" i="3" s="1"/>
  <c r="R188" i="3" s="1"/>
  <c r="AD188" i="3"/>
  <c r="AC188" i="3"/>
  <c r="I48" i="3"/>
  <c r="W48" i="3" s="1"/>
  <c r="J48" i="3"/>
  <c r="M48" i="3"/>
  <c r="N48" i="3" s="1"/>
  <c r="Z189" i="3" l="1"/>
  <c r="P189" i="3"/>
  <c r="Q189" i="3" s="1"/>
  <c r="R189" i="3" s="1"/>
  <c r="A190" i="3"/>
  <c r="B190" i="3" s="1"/>
  <c r="AC189" i="3"/>
  <c r="AA189" i="3"/>
  <c r="AD189" i="3"/>
  <c r="S188" i="3"/>
  <c r="T187" i="3"/>
  <c r="L48" i="3"/>
  <c r="AC190" i="3" l="1"/>
  <c r="P190" i="3"/>
  <c r="Q190" i="3" s="1"/>
  <c r="R190" i="3" s="1"/>
  <c r="Z190" i="3"/>
  <c r="A191" i="3"/>
  <c r="B191" i="3" s="1"/>
  <c r="AD190" i="3"/>
  <c r="AA190" i="3"/>
  <c r="S189" i="3"/>
  <c r="T188" i="3"/>
  <c r="AH49" i="3"/>
  <c r="U48" i="3"/>
  <c r="E49" i="3" s="1"/>
  <c r="H49" i="3" s="1"/>
  <c r="AG49" i="3"/>
  <c r="Y47" i="3"/>
  <c r="D49" i="3" l="1"/>
  <c r="G49" i="3" s="1"/>
  <c r="K49" i="3"/>
  <c r="Z191" i="3"/>
  <c r="P191" i="3"/>
  <c r="Q191" i="3" s="1"/>
  <c r="R191" i="3" s="1"/>
  <c r="AA191" i="3"/>
  <c r="AC191" i="3"/>
  <c r="A192" i="3"/>
  <c r="B192" i="3" s="1"/>
  <c r="AD191" i="3"/>
  <c r="S190" i="3"/>
  <c r="T189" i="3"/>
  <c r="F49" i="3" l="1"/>
  <c r="P192" i="3"/>
  <c r="Q192" i="3" s="1"/>
  <c r="R192" i="3" s="1"/>
  <c r="Z192" i="3"/>
  <c r="AD192" i="3"/>
  <c r="AA192" i="3"/>
  <c r="A193" i="3"/>
  <c r="B193" i="3" s="1"/>
  <c r="AC192" i="3"/>
  <c r="V49" i="3"/>
  <c r="AE49" i="3"/>
  <c r="I49" i="3"/>
  <c r="J49" i="3"/>
  <c r="M49" i="3"/>
  <c r="N49" i="3" s="1"/>
  <c r="S191" i="3"/>
  <c r="T190" i="3"/>
  <c r="W49" i="3" l="1"/>
  <c r="Z193" i="3"/>
  <c r="AC193" i="3"/>
  <c r="AA193" i="3"/>
  <c r="AD193" i="3"/>
  <c r="P193" i="3"/>
  <c r="Q193" i="3" s="1"/>
  <c r="R193" i="3" s="1"/>
  <c r="A194" i="3"/>
  <c r="B194" i="3" s="1"/>
  <c r="S192" i="3"/>
  <c r="T191" i="3"/>
  <c r="L49" i="3"/>
  <c r="T192" i="3" l="1"/>
  <c r="S193" i="3"/>
  <c r="AD194" i="3"/>
  <c r="P194" i="3"/>
  <c r="Q194" i="3" s="1"/>
  <c r="R194" i="3" s="1"/>
  <c r="AA194" i="3"/>
  <c r="A195" i="3"/>
  <c r="B195" i="3" s="1"/>
  <c r="AC194" i="3"/>
  <c r="Z194" i="3"/>
  <c r="AG50" i="3"/>
  <c r="AH50" i="3"/>
  <c r="U49" i="3"/>
  <c r="D50" i="3" s="1"/>
  <c r="Y48" i="3"/>
  <c r="E50" i="3" l="1"/>
  <c r="H50" i="3" s="1"/>
  <c r="K50" i="3" s="1"/>
  <c r="G50" i="3"/>
  <c r="S194" i="3"/>
  <c r="T193" i="3"/>
  <c r="Z195" i="3"/>
  <c r="AA195" i="3"/>
  <c r="P195" i="3"/>
  <c r="Q195" i="3" s="1"/>
  <c r="R195" i="3" s="1"/>
  <c r="A196" i="3"/>
  <c r="B196" i="3" s="1"/>
  <c r="AC195" i="3"/>
  <c r="AD195" i="3"/>
  <c r="F50" i="3" l="1"/>
  <c r="P196" i="3"/>
  <c r="Q196" i="3" s="1"/>
  <c r="R196" i="3" s="1"/>
  <c r="A197" i="3"/>
  <c r="B197" i="3" s="1"/>
  <c r="Z196" i="3"/>
  <c r="AC196" i="3"/>
  <c r="AA196" i="3"/>
  <c r="AD196" i="3"/>
  <c r="S195" i="3"/>
  <c r="T194" i="3"/>
  <c r="I50" i="3"/>
  <c r="J50" i="3"/>
  <c r="M50" i="3"/>
  <c r="N50" i="3" s="1"/>
  <c r="V50" i="3"/>
  <c r="AE50" i="3"/>
  <c r="L50" i="3" l="1"/>
  <c r="S196" i="3"/>
  <c r="T195" i="3"/>
  <c r="AD197" i="3"/>
  <c r="P197" i="3"/>
  <c r="Q197" i="3" s="1"/>
  <c r="R197" i="3" s="1"/>
  <c r="AA197" i="3"/>
  <c r="A198" i="3"/>
  <c r="B198" i="3" s="1"/>
  <c r="Z197" i="3"/>
  <c r="AC197" i="3"/>
  <c r="W50" i="3"/>
  <c r="P198" i="3" l="1"/>
  <c r="Q198" i="3" s="1"/>
  <c r="R198" i="3" s="1"/>
  <c r="A199" i="3"/>
  <c r="B199" i="3" s="1"/>
  <c r="AA198" i="3"/>
  <c r="Z198" i="3"/>
  <c r="AC198" i="3"/>
  <c r="AD198" i="3"/>
  <c r="U50" i="3"/>
  <c r="D51" i="3" s="1"/>
  <c r="AH51" i="3"/>
  <c r="AG51" i="3"/>
  <c r="Y49" i="3"/>
  <c r="S197" i="3"/>
  <c r="T196" i="3"/>
  <c r="E51" i="3" l="1"/>
  <c r="H51" i="3" s="1"/>
  <c r="K51" i="3" s="1"/>
  <c r="AD199" i="3"/>
  <c r="P199" i="3"/>
  <c r="Q199" i="3" s="1"/>
  <c r="R199" i="3" s="1"/>
  <c r="A200" i="3"/>
  <c r="B200" i="3" s="1"/>
  <c r="AC199" i="3"/>
  <c r="AA199" i="3"/>
  <c r="Z199" i="3"/>
  <c r="G51" i="3"/>
  <c r="T197" i="3"/>
  <c r="S198" i="3"/>
  <c r="F51" i="3" l="1"/>
  <c r="AA200" i="3"/>
  <c r="A201" i="3"/>
  <c r="B201" i="3" s="1"/>
  <c r="AC200" i="3"/>
  <c r="Z200" i="3"/>
  <c r="P200" i="3"/>
  <c r="Q200" i="3" s="1"/>
  <c r="R200" i="3" s="1"/>
  <c r="AD200" i="3"/>
  <c r="V51" i="3"/>
  <c r="AE51" i="3"/>
  <c r="I51" i="3"/>
  <c r="J51" i="3"/>
  <c r="M51" i="3"/>
  <c r="N51" i="3" s="1"/>
  <c r="T198" i="3"/>
  <c r="S199" i="3"/>
  <c r="W51" i="3" l="1"/>
  <c r="A202" i="3"/>
  <c r="B202" i="3" s="1"/>
  <c r="AC201" i="3"/>
  <c r="Z201" i="3"/>
  <c r="AD201" i="3"/>
  <c r="P201" i="3"/>
  <c r="Q201" i="3" s="1"/>
  <c r="R201" i="3" s="1"/>
  <c r="AA201" i="3"/>
  <c r="L51" i="3"/>
  <c r="S200" i="3"/>
  <c r="T199" i="3"/>
  <c r="AD202" i="3" l="1"/>
  <c r="P202" i="3"/>
  <c r="Q202" i="3" s="1"/>
  <c r="R202" i="3" s="1"/>
  <c r="AA202" i="3"/>
  <c r="AC202" i="3"/>
  <c r="Z202" i="3"/>
  <c r="A203" i="3"/>
  <c r="B203" i="3" s="1"/>
  <c r="AH52" i="3"/>
  <c r="AG52" i="3"/>
  <c r="U51" i="3"/>
  <c r="E52" i="3" s="1"/>
  <c r="H52" i="3" s="1"/>
  <c r="Y50" i="3"/>
  <c r="S201" i="3"/>
  <c r="T200" i="3"/>
  <c r="D52" i="3" l="1"/>
  <c r="G52" i="3" s="1"/>
  <c r="K52" i="3"/>
  <c r="Z203" i="3"/>
  <c r="P203" i="3"/>
  <c r="Q203" i="3" s="1"/>
  <c r="R203" i="3" s="1"/>
  <c r="AD203" i="3"/>
  <c r="AA203" i="3"/>
  <c r="A204" i="3"/>
  <c r="B204" i="3" s="1"/>
  <c r="AC203" i="3"/>
  <c r="S202" i="3"/>
  <c r="T201" i="3"/>
  <c r="F52" i="3" l="1"/>
  <c r="P204" i="3"/>
  <c r="Q204" i="3" s="1"/>
  <c r="R204" i="3" s="1"/>
  <c r="Z204" i="3"/>
  <c r="AA204" i="3"/>
  <c r="AC204" i="3"/>
  <c r="S203" i="3"/>
  <c r="T202" i="3"/>
  <c r="V52" i="3"/>
  <c r="AE52" i="3"/>
  <c r="I52" i="3"/>
  <c r="J52" i="3"/>
  <c r="M52" i="3"/>
  <c r="N52" i="3" s="1"/>
  <c r="S204" i="3" l="1"/>
  <c r="T203" i="3"/>
  <c r="L52" i="3"/>
  <c r="W52" i="3"/>
  <c r="T204" i="3" l="1"/>
  <c r="AH53" i="3"/>
  <c r="AG53" i="3"/>
  <c r="U52" i="3"/>
  <c r="E53" i="3" s="1"/>
  <c r="H53" i="3" s="1"/>
  <c r="Y51" i="3"/>
  <c r="K53" i="3" l="1"/>
  <c r="D53" i="3"/>
  <c r="V53" i="3" l="1"/>
  <c r="AE53" i="3"/>
  <c r="F53" i="3"/>
  <c r="G53" i="3"/>
  <c r="I53" i="3" l="1"/>
  <c r="W53" i="3" s="1"/>
  <c r="J53" i="3"/>
  <c r="M53" i="3"/>
  <c r="N53" i="3" s="1"/>
  <c r="L53" i="3" l="1"/>
  <c r="AH54" i="3" l="1"/>
  <c r="AG54" i="3"/>
  <c r="U53" i="3"/>
  <c r="D54" i="3" s="1"/>
  <c r="Y52" i="3"/>
  <c r="G54" i="3" l="1"/>
  <c r="E54" i="3"/>
  <c r="H54" i="3" s="1"/>
  <c r="I54" i="3" l="1"/>
  <c r="J54" i="3"/>
  <c r="M54" i="3"/>
  <c r="N54" i="3" s="1"/>
  <c r="F54" i="3"/>
  <c r="K54" i="3"/>
  <c r="L54" i="3" l="1"/>
  <c r="V54" i="3"/>
  <c r="W54" i="3" s="1"/>
  <c r="AE54" i="3"/>
  <c r="U54" i="3" l="1"/>
  <c r="D55" i="3" s="1"/>
  <c r="AG55" i="3"/>
  <c r="AH55" i="3"/>
  <c r="Y53" i="3"/>
  <c r="E55" i="3" l="1"/>
  <c r="H55" i="3" s="1"/>
  <c r="K55" i="3" s="1"/>
  <c r="G55" i="3"/>
  <c r="F55" i="3" l="1"/>
  <c r="V55" i="3"/>
  <c r="AE55" i="3"/>
  <c r="I55" i="3"/>
  <c r="J55" i="3"/>
  <c r="M55" i="3"/>
  <c r="N55" i="3" s="1"/>
  <c r="W55" i="3" l="1"/>
  <c r="L55" i="3"/>
  <c r="AH56" i="3" l="1"/>
  <c r="U55" i="3"/>
  <c r="D56" i="3" s="1"/>
  <c r="AG56" i="3"/>
  <c r="Y54" i="3"/>
  <c r="E56" i="3" l="1"/>
  <c r="H56" i="3" s="1"/>
  <c r="K56" i="3" s="1"/>
  <c r="G56" i="3"/>
  <c r="F56" i="3" l="1"/>
  <c r="I56" i="3"/>
  <c r="J56" i="3"/>
  <c r="M56" i="3"/>
  <c r="N56" i="3" s="1"/>
  <c r="V56" i="3"/>
  <c r="AE56" i="3"/>
  <c r="W56" i="3" l="1"/>
  <c r="L56" i="3"/>
  <c r="AG57" i="3" l="1"/>
  <c r="U56" i="3"/>
  <c r="D57" i="3" s="1"/>
  <c r="AH57" i="3"/>
  <c r="Y55" i="3"/>
  <c r="E57" i="3" l="1"/>
  <c r="H57" i="3" s="1"/>
  <c r="K57" i="3" s="1"/>
  <c r="G57" i="3"/>
  <c r="F57" i="3" l="1"/>
  <c r="I57" i="3"/>
  <c r="J57" i="3"/>
  <c r="M57" i="3"/>
  <c r="N57" i="3" s="1"/>
  <c r="V57" i="3"/>
  <c r="AE57" i="3"/>
  <c r="W57" i="3" l="1"/>
  <c r="L57" i="3"/>
  <c r="U57" i="3" l="1"/>
  <c r="D58" i="3" s="1"/>
  <c r="AH58" i="3"/>
  <c r="AG58" i="3"/>
  <c r="Y56" i="3"/>
  <c r="E58" i="3" l="1"/>
  <c r="H58" i="3" s="1"/>
  <c r="K58" i="3" s="1"/>
  <c r="G58" i="3"/>
  <c r="F58" i="3" l="1"/>
  <c r="V58" i="3"/>
  <c r="AE58" i="3"/>
  <c r="I58" i="3"/>
  <c r="J58" i="3"/>
  <c r="M58" i="3"/>
  <c r="N58" i="3" s="1"/>
  <c r="W58" i="3" l="1"/>
  <c r="L58" i="3"/>
  <c r="AG59" i="3" l="1"/>
  <c r="U58" i="3"/>
  <c r="E59" i="3" s="1"/>
  <c r="H59" i="3" s="1"/>
  <c r="AH59" i="3"/>
  <c r="Y57" i="3"/>
  <c r="D59" i="3" l="1"/>
  <c r="F59" i="3" s="1"/>
  <c r="K59" i="3"/>
  <c r="G59" i="3" l="1"/>
  <c r="M59" i="3" s="1"/>
  <c r="N59" i="3" s="1"/>
  <c r="V59" i="3"/>
  <c r="AE59" i="3"/>
  <c r="I59" i="3" l="1"/>
  <c r="W59" i="3" s="1"/>
  <c r="J59" i="3"/>
  <c r="L59" i="3" s="1"/>
  <c r="AH60" i="3" l="1"/>
  <c r="U59" i="3"/>
  <c r="D60" i="3" s="1"/>
  <c r="AG60" i="3"/>
  <c r="Y58" i="3"/>
  <c r="E60" i="3" l="1"/>
  <c r="H60" i="3" s="1"/>
  <c r="K60" i="3" s="1"/>
  <c r="G60" i="3"/>
  <c r="F60" i="3" l="1"/>
  <c r="I60" i="3"/>
  <c r="J60" i="3"/>
  <c r="M60" i="3"/>
  <c r="N60" i="3" s="1"/>
  <c r="V60" i="3"/>
  <c r="AE60" i="3"/>
  <c r="W60" i="3" l="1"/>
  <c r="L60" i="3"/>
  <c r="AG61" i="3" l="1"/>
  <c r="U60" i="3"/>
  <c r="D61" i="3" s="1"/>
  <c r="AH61" i="3"/>
  <c r="Y59" i="3"/>
  <c r="G61" i="3" l="1"/>
  <c r="E61" i="3"/>
  <c r="H61" i="3" s="1"/>
  <c r="F61" i="3" l="1"/>
  <c r="I61" i="3"/>
  <c r="J61" i="3"/>
  <c r="M61" i="3"/>
  <c r="N61" i="3" s="1"/>
  <c r="K61" i="3"/>
  <c r="V61" i="3" l="1"/>
  <c r="W61" i="3" s="1"/>
  <c r="AE61" i="3"/>
  <c r="L61" i="3"/>
  <c r="AG62" i="3" l="1"/>
  <c r="U61" i="3"/>
  <c r="D62" i="3" s="1"/>
  <c r="AH62" i="3"/>
  <c r="Y60" i="3"/>
  <c r="G62" i="3" l="1"/>
  <c r="E62" i="3"/>
  <c r="H62" i="3" s="1"/>
  <c r="F62" i="3" l="1"/>
  <c r="I62" i="3"/>
  <c r="J62" i="3"/>
  <c r="M62" i="3"/>
  <c r="N62" i="3" s="1"/>
  <c r="K62" i="3"/>
  <c r="V62" i="3" l="1"/>
  <c r="W62" i="3" s="1"/>
  <c r="AE62" i="3"/>
  <c r="L62" i="3"/>
  <c r="U62" i="3" l="1"/>
  <c r="E63" i="3" s="1"/>
  <c r="H63" i="3" s="1"/>
  <c r="AG63" i="3"/>
  <c r="AH63" i="3"/>
  <c r="Y61" i="3"/>
  <c r="D63" i="3" l="1"/>
  <c r="G63" i="3" s="1"/>
  <c r="K63" i="3"/>
  <c r="F63" i="3" l="1"/>
  <c r="I63" i="3"/>
  <c r="J63" i="3"/>
  <c r="M63" i="3"/>
  <c r="N63" i="3" s="1"/>
  <c r="V63" i="3"/>
  <c r="AE63" i="3"/>
  <c r="W63" i="3" l="1"/>
  <c r="L63" i="3"/>
  <c r="U63" i="3" l="1"/>
  <c r="E64" i="3" s="1"/>
  <c r="H64" i="3" s="1"/>
  <c r="AH64" i="3"/>
  <c r="AG64" i="3"/>
  <c r="Y62" i="3"/>
  <c r="D64" i="3" l="1"/>
  <c r="G64" i="3" s="1"/>
  <c r="K64" i="3"/>
  <c r="F64" i="3" l="1"/>
  <c r="V64" i="3"/>
  <c r="AE64" i="3"/>
  <c r="I64" i="3"/>
  <c r="J64" i="3"/>
  <c r="M64" i="3"/>
  <c r="N64" i="3" s="1"/>
  <c r="W64" i="3" l="1"/>
  <c r="L64" i="3"/>
  <c r="U64" i="3" l="1"/>
  <c r="E65" i="3" s="1"/>
  <c r="H65" i="3" s="1"/>
  <c r="AH65" i="3"/>
  <c r="AG65" i="3"/>
  <c r="Y63" i="3"/>
  <c r="D65" i="3" l="1"/>
  <c r="G65" i="3" s="1"/>
  <c r="K65" i="3"/>
  <c r="F65" i="3" l="1"/>
  <c r="V65" i="3"/>
  <c r="AE65" i="3"/>
  <c r="I65" i="3"/>
  <c r="J65" i="3"/>
  <c r="M65" i="3"/>
  <c r="N65" i="3" s="1"/>
  <c r="W65" i="3" l="1"/>
  <c r="L65" i="3"/>
  <c r="U65" i="3" l="1"/>
  <c r="D66" i="3" s="1"/>
  <c r="AH66" i="3"/>
  <c r="AG66" i="3"/>
  <c r="Y64" i="3"/>
  <c r="E66" i="3" l="1"/>
  <c r="H66" i="3" s="1"/>
  <c r="K66" i="3" s="1"/>
  <c r="G66" i="3"/>
  <c r="F66" i="3" l="1"/>
  <c r="I66" i="3"/>
  <c r="J66" i="3"/>
  <c r="M66" i="3"/>
  <c r="N66" i="3" s="1"/>
  <c r="V66" i="3"/>
  <c r="AE66" i="3"/>
  <c r="W66" i="3" l="1"/>
  <c r="L66" i="3"/>
  <c r="U66" i="3" l="1"/>
  <c r="D67" i="3" s="1"/>
  <c r="AH67" i="3"/>
  <c r="AG67" i="3"/>
  <c r="Y65" i="3"/>
  <c r="E67" i="3" l="1"/>
  <c r="H67" i="3" s="1"/>
  <c r="K67" i="3" s="1"/>
  <c r="G67" i="3"/>
  <c r="F67" i="3" l="1"/>
  <c r="I67" i="3"/>
  <c r="J67" i="3"/>
  <c r="M67" i="3"/>
  <c r="N67" i="3" s="1"/>
  <c r="V67" i="3"/>
  <c r="AE67" i="3"/>
  <c r="W67" i="3" l="1"/>
  <c r="L67" i="3"/>
  <c r="U67" i="3" l="1"/>
  <c r="D68" i="3" s="1"/>
  <c r="AH68" i="3"/>
  <c r="AG68" i="3"/>
  <c r="Y66" i="3"/>
  <c r="E68" i="3" l="1"/>
  <c r="H68" i="3" s="1"/>
  <c r="K68" i="3" s="1"/>
  <c r="G68" i="3"/>
  <c r="F68" i="3" l="1"/>
  <c r="I68" i="3"/>
  <c r="J68" i="3"/>
  <c r="M68" i="3"/>
  <c r="N68" i="3" s="1"/>
  <c r="V68" i="3"/>
  <c r="AE68" i="3"/>
  <c r="W68" i="3" l="1"/>
  <c r="L68" i="3"/>
  <c r="U68" i="3" l="1"/>
  <c r="D69" i="3" s="1"/>
  <c r="AH69" i="3"/>
  <c r="AG69" i="3"/>
  <c r="Y67" i="3"/>
  <c r="E69" i="3" l="1"/>
  <c r="H69" i="3" s="1"/>
  <c r="K69" i="3" s="1"/>
  <c r="G69" i="3"/>
  <c r="F69" i="3" l="1"/>
  <c r="I69" i="3"/>
  <c r="J69" i="3"/>
  <c r="M69" i="3"/>
  <c r="N69" i="3" s="1"/>
  <c r="V69" i="3"/>
  <c r="AE69" i="3"/>
  <c r="W69" i="3" l="1"/>
  <c r="L69" i="3"/>
  <c r="AH70" i="3" l="1"/>
  <c r="U69" i="3"/>
  <c r="E70" i="3" s="1"/>
  <c r="H70" i="3" s="1"/>
  <c r="AG70" i="3"/>
  <c r="Y68" i="3"/>
  <c r="D70" i="3" l="1"/>
  <c r="G70" i="3" s="1"/>
  <c r="K70" i="3"/>
  <c r="F70" i="3" l="1"/>
  <c r="I70" i="3"/>
  <c r="J70" i="3"/>
  <c r="M70" i="3"/>
  <c r="N70" i="3" s="1"/>
  <c r="V70" i="3"/>
  <c r="AE70" i="3"/>
  <c r="W70" i="3" l="1"/>
  <c r="L70" i="3"/>
  <c r="AG71" i="3" l="1"/>
  <c r="AH71" i="3"/>
  <c r="U70" i="3"/>
  <c r="E71" i="3" s="1"/>
  <c r="H71" i="3" s="1"/>
  <c r="Y69" i="3"/>
  <c r="D71" i="3" l="1"/>
  <c r="G71" i="3" s="1"/>
  <c r="K71" i="3"/>
  <c r="F71" i="3" l="1"/>
  <c r="I71" i="3"/>
  <c r="J71" i="3"/>
  <c r="M71" i="3"/>
  <c r="N71" i="3" s="1"/>
  <c r="V71" i="3"/>
  <c r="AE71" i="3"/>
  <c r="W71" i="3" l="1"/>
  <c r="L71" i="3"/>
  <c r="AH72" i="3" l="1"/>
  <c r="U71" i="3"/>
  <c r="E72" i="3" s="1"/>
  <c r="H72" i="3" s="1"/>
  <c r="AG72" i="3"/>
  <c r="Y70" i="3"/>
  <c r="D72" i="3" l="1"/>
  <c r="F72" i="3" s="1"/>
  <c r="K72" i="3"/>
  <c r="G72" i="3" l="1"/>
  <c r="M72" i="3" s="1"/>
  <c r="N72" i="3" s="1"/>
  <c r="V72" i="3"/>
  <c r="AE72" i="3"/>
  <c r="I72" i="3" l="1"/>
  <c r="W72" i="3" s="1"/>
  <c r="J72" i="3"/>
  <c r="L72" i="3" s="1"/>
  <c r="U72" i="3" l="1"/>
  <c r="D73" i="3" s="1"/>
  <c r="AG73" i="3"/>
  <c r="AH73" i="3"/>
  <c r="Y71" i="3"/>
  <c r="E73" i="3" l="1"/>
  <c r="H73" i="3" s="1"/>
  <c r="K73" i="3" s="1"/>
  <c r="G73" i="3"/>
  <c r="F73" i="3" l="1"/>
  <c r="I73" i="3"/>
  <c r="J73" i="3"/>
  <c r="M73" i="3"/>
  <c r="N73" i="3" s="1"/>
  <c r="V73" i="3"/>
  <c r="AE73" i="3"/>
  <c r="W73" i="3" l="1"/>
  <c r="L73" i="3"/>
  <c r="AG74" i="3" l="1"/>
  <c r="AH74" i="3"/>
  <c r="U73" i="3"/>
  <c r="D74" i="3" s="1"/>
  <c r="Y72" i="3"/>
  <c r="G74" i="3" l="1"/>
  <c r="E74" i="3"/>
  <c r="H74" i="3" s="1"/>
  <c r="I74" i="3" l="1"/>
  <c r="J74" i="3"/>
  <c r="M74" i="3"/>
  <c r="N74" i="3" s="1"/>
  <c r="K74" i="3"/>
  <c r="F74" i="3"/>
  <c r="V74" i="3" l="1"/>
  <c r="W74" i="3" s="1"/>
  <c r="AE74" i="3"/>
  <c r="L74" i="3"/>
  <c r="AG75" i="3" l="1"/>
  <c r="U74" i="3"/>
  <c r="E75" i="3" s="1"/>
  <c r="H75" i="3" s="1"/>
  <c r="AH75" i="3"/>
  <c r="Y73" i="3"/>
  <c r="K75" i="3" l="1"/>
  <c r="D75" i="3"/>
  <c r="V75" i="3" l="1"/>
  <c r="AE75" i="3"/>
  <c r="F75" i="3"/>
  <c r="G75" i="3"/>
  <c r="I75" i="3" l="1"/>
  <c r="W75" i="3" s="1"/>
  <c r="J75" i="3"/>
  <c r="M75" i="3"/>
  <c r="N75" i="3" s="1"/>
  <c r="L75" i="3" l="1"/>
  <c r="U75" i="3" l="1"/>
  <c r="E76" i="3" s="1"/>
  <c r="H76" i="3" s="1"/>
  <c r="AH76" i="3"/>
  <c r="AG76" i="3"/>
  <c r="Y74" i="3"/>
  <c r="D76" i="3" l="1"/>
  <c r="F76" i="3" s="1"/>
  <c r="K76" i="3"/>
  <c r="G76" i="3" l="1"/>
  <c r="I76" i="3" s="1"/>
  <c r="V76" i="3"/>
  <c r="AE76" i="3"/>
  <c r="J76" i="3" l="1"/>
  <c r="L76" i="3" s="1"/>
  <c r="M76" i="3"/>
  <c r="N76" i="3" s="1"/>
  <c r="W76" i="3"/>
  <c r="U76" i="3" l="1"/>
  <c r="D77" i="3" s="1"/>
  <c r="AH77" i="3"/>
  <c r="AG77" i="3"/>
  <c r="Y75" i="3"/>
  <c r="E77" i="3" l="1"/>
  <c r="H77" i="3" s="1"/>
  <c r="K77" i="3" s="1"/>
  <c r="G77" i="3"/>
  <c r="F77" i="3" l="1"/>
  <c r="I77" i="3"/>
  <c r="J77" i="3"/>
  <c r="M77" i="3"/>
  <c r="N77" i="3" s="1"/>
  <c r="V77" i="3"/>
  <c r="AE77" i="3"/>
  <c r="W77" i="3" l="1"/>
  <c r="L77" i="3"/>
  <c r="AH78" i="3" l="1"/>
  <c r="U77" i="3"/>
  <c r="D78" i="3" s="1"/>
  <c r="AG78" i="3"/>
  <c r="Y76" i="3"/>
  <c r="E78" i="3" l="1"/>
  <c r="H78" i="3" s="1"/>
  <c r="K78" i="3" s="1"/>
  <c r="G78" i="3"/>
  <c r="F78" i="3" l="1"/>
  <c r="I78" i="3"/>
  <c r="J78" i="3"/>
  <c r="M78" i="3"/>
  <c r="N78" i="3" s="1"/>
  <c r="V78" i="3"/>
  <c r="AE78" i="3"/>
  <c r="W78" i="3" l="1"/>
  <c r="L78" i="3"/>
  <c r="U78" i="3" l="1"/>
  <c r="E79" i="3" s="1"/>
  <c r="H79" i="3" s="1"/>
  <c r="AH79" i="3"/>
  <c r="AG79" i="3"/>
  <c r="Y77" i="3"/>
  <c r="D79" i="3" l="1"/>
  <c r="G79" i="3" s="1"/>
  <c r="K79" i="3"/>
  <c r="F79" i="3" l="1"/>
  <c r="I79" i="3"/>
  <c r="J79" i="3"/>
  <c r="M79" i="3"/>
  <c r="N79" i="3" s="1"/>
  <c r="V79" i="3"/>
  <c r="AE79" i="3"/>
  <c r="W79" i="3" l="1"/>
  <c r="L79" i="3"/>
  <c r="AH80" i="3" l="1"/>
  <c r="AG80" i="3"/>
  <c r="U79" i="3"/>
  <c r="E80" i="3" s="1"/>
  <c r="H80" i="3" s="1"/>
  <c r="Y78" i="3"/>
  <c r="D80" i="3" l="1"/>
  <c r="F80" i="3" s="1"/>
  <c r="K80" i="3"/>
  <c r="G80" i="3" l="1"/>
  <c r="I80" i="3" s="1"/>
  <c r="V80" i="3"/>
  <c r="AE80" i="3"/>
  <c r="J80" i="3" l="1"/>
  <c r="L80" i="3" s="1"/>
  <c r="M80" i="3"/>
  <c r="N80" i="3" s="1"/>
  <c r="W80" i="3"/>
  <c r="U80" i="3" l="1"/>
  <c r="E81" i="3" s="1"/>
  <c r="H81" i="3" s="1"/>
  <c r="AG81" i="3"/>
  <c r="AH81" i="3"/>
  <c r="Y79" i="3"/>
  <c r="D81" i="3" l="1"/>
  <c r="G81" i="3" s="1"/>
  <c r="K81" i="3"/>
  <c r="F81" i="3" l="1"/>
  <c r="I81" i="3"/>
  <c r="J81" i="3"/>
  <c r="M81" i="3"/>
  <c r="N81" i="3" s="1"/>
  <c r="V81" i="3"/>
  <c r="AE81" i="3"/>
  <c r="W81" i="3" l="1"/>
  <c r="L81" i="3"/>
  <c r="AH82" i="3" l="1"/>
  <c r="AG82" i="3"/>
  <c r="U81" i="3"/>
  <c r="E82" i="3" s="1"/>
  <c r="H82" i="3" s="1"/>
  <c r="Y80" i="3"/>
  <c r="D82" i="3" l="1"/>
  <c r="G82" i="3" s="1"/>
  <c r="K82" i="3"/>
  <c r="F82" i="3" l="1"/>
  <c r="I82" i="3"/>
  <c r="J82" i="3"/>
  <c r="M82" i="3"/>
  <c r="N82" i="3" s="1"/>
  <c r="V82" i="3"/>
  <c r="AE82" i="3"/>
  <c r="W82" i="3" l="1"/>
  <c r="L82" i="3"/>
  <c r="AG83" i="3" l="1"/>
  <c r="U82" i="3"/>
  <c r="D83" i="3" s="1"/>
  <c r="AH83" i="3"/>
  <c r="Y81" i="3"/>
  <c r="E83" i="3" l="1"/>
  <c r="H83" i="3" s="1"/>
  <c r="K83" i="3" s="1"/>
  <c r="G83" i="3"/>
  <c r="F83" i="3" l="1"/>
  <c r="I83" i="3"/>
  <c r="J83" i="3"/>
  <c r="M83" i="3"/>
  <c r="N83" i="3" s="1"/>
  <c r="V83" i="3"/>
  <c r="AE83" i="3"/>
  <c r="W83" i="3" l="1"/>
  <c r="L83" i="3"/>
  <c r="AG84" i="3" l="1"/>
  <c r="AH84" i="3"/>
  <c r="U83" i="3"/>
  <c r="D84" i="3" s="1"/>
  <c r="Y82" i="3"/>
  <c r="G84" i="3" l="1"/>
  <c r="E84" i="3"/>
  <c r="H84" i="3" s="1"/>
  <c r="K84" i="3" l="1"/>
  <c r="I84" i="3"/>
  <c r="J84" i="3"/>
  <c r="M84" i="3"/>
  <c r="N84" i="3" s="1"/>
  <c r="F84" i="3"/>
  <c r="L84" i="3" l="1"/>
  <c r="V84" i="3"/>
  <c r="W84" i="3" s="1"/>
  <c r="AE84" i="3"/>
  <c r="AH85" i="3" l="1"/>
  <c r="AG85" i="3"/>
  <c r="U84" i="3"/>
  <c r="D85" i="3" s="1"/>
  <c r="Y83" i="3"/>
  <c r="E85" i="3" l="1"/>
  <c r="H85" i="3" s="1"/>
  <c r="K85" i="3" s="1"/>
  <c r="G85" i="3"/>
  <c r="F85" i="3" l="1"/>
  <c r="I85" i="3"/>
  <c r="J85" i="3"/>
  <c r="M85" i="3"/>
  <c r="N85" i="3" s="1"/>
  <c r="V85" i="3"/>
  <c r="AE85" i="3"/>
  <c r="W85" i="3" l="1"/>
  <c r="L85" i="3"/>
  <c r="AH86" i="3" l="1"/>
  <c r="AG86" i="3"/>
  <c r="U85" i="3"/>
  <c r="E86" i="3" s="1"/>
  <c r="H86" i="3" s="1"/>
  <c r="Y84" i="3"/>
  <c r="D86" i="3" l="1"/>
  <c r="F86" i="3" s="1"/>
  <c r="K86" i="3"/>
  <c r="G86" i="3" l="1"/>
  <c r="M86" i="3" s="1"/>
  <c r="N86" i="3" s="1"/>
  <c r="V86" i="3"/>
  <c r="AE86" i="3"/>
  <c r="I86" i="3" l="1"/>
  <c r="W86" i="3" s="1"/>
  <c r="J86" i="3"/>
  <c r="L86" i="3" s="1"/>
  <c r="U86" i="3" l="1"/>
  <c r="E87" i="3" s="1"/>
  <c r="H87" i="3" s="1"/>
  <c r="AH87" i="3"/>
  <c r="AG87" i="3"/>
  <c r="Y85" i="3"/>
  <c r="D87" i="3" l="1"/>
  <c r="G87" i="3" s="1"/>
  <c r="K87" i="3"/>
  <c r="F87" i="3" l="1"/>
  <c r="V87" i="3"/>
  <c r="AE87" i="3"/>
  <c r="I87" i="3"/>
  <c r="J87" i="3"/>
  <c r="M87" i="3"/>
  <c r="N87" i="3" s="1"/>
  <c r="L87" i="3" l="1"/>
  <c r="W87" i="3"/>
  <c r="U87" i="3" l="1"/>
  <c r="E88" i="3" s="1"/>
  <c r="H88" i="3" s="1"/>
  <c r="AG88" i="3"/>
  <c r="AH88" i="3"/>
  <c r="Y86" i="3"/>
  <c r="D88" i="3" l="1"/>
  <c r="G88" i="3" s="1"/>
  <c r="K88" i="3"/>
  <c r="F88" i="3" l="1"/>
  <c r="I88" i="3"/>
  <c r="J88" i="3"/>
  <c r="M88" i="3"/>
  <c r="N88" i="3" s="1"/>
  <c r="V88" i="3"/>
  <c r="AE88" i="3"/>
  <c r="W88" i="3" l="1"/>
  <c r="L88" i="3"/>
  <c r="AH89" i="3" l="1"/>
  <c r="U88" i="3"/>
  <c r="E89" i="3" s="1"/>
  <c r="H89" i="3" s="1"/>
  <c r="AG89" i="3"/>
  <c r="Y87" i="3"/>
  <c r="K89" i="3" l="1"/>
  <c r="D89" i="3"/>
  <c r="V89" i="3" l="1"/>
  <c r="AE89" i="3"/>
  <c r="F89" i="3"/>
  <c r="G89" i="3"/>
  <c r="I89" i="3" l="1"/>
  <c r="W89" i="3" s="1"/>
  <c r="J89" i="3"/>
  <c r="M89" i="3"/>
  <c r="N89" i="3" s="1"/>
  <c r="L89" i="3" l="1"/>
  <c r="U89" i="3" l="1"/>
  <c r="D90" i="3" s="1"/>
  <c r="AH90" i="3"/>
  <c r="AG90" i="3"/>
  <c r="Y88" i="3"/>
  <c r="G90" i="3" l="1"/>
  <c r="E90" i="3"/>
  <c r="H90" i="3" s="1"/>
  <c r="F90" i="3" l="1"/>
  <c r="I90" i="3"/>
  <c r="J90" i="3"/>
  <c r="M90" i="3"/>
  <c r="N90" i="3" s="1"/>
  <c r="K90" i="3"/>
  <c r="V90" i="3" l="1"/>
  <c r="W90" i="3" s="1"/>
  <c r="AE90" i="3"/>
  <c r="L90" i="3"/>
  <c r="AG91" i="3" l="1"/>
  <c r="AH91" i="3"/>
  <c r="U90" i="3"/>
  <c r="D91" i="3" s="1"/>
  <c r="Y89" i="3"/>
  <c r="G91" i="3" l="1"/>
  <c r="E91" i="3"/>
  <c r="H91" i="3" s="1"/>
  <c r="F91" i="3" l="1"/>
  <c r="I91" i="3"/>
  <c r="J91" i="3"/>
  <c r="M91" i="3"/>
  <c r="N91" i="3" s="1"/>
  <c r="K91" i="3"/>
  <c r="V91" i="3" l="1"/>
  <c r="W91" i="3" s="1"/>
  <c r="AE91" i="3"/>
  <c r="L91" i="3"/>
  <c r="AH92" i="3" l="1"/>
  <c r="AG92" i="3"/>
  <c r="U91" i="3"/>
  <c r="D92" i="3" s="1"/>
  <c r="Y90" i="3"/>
  <c r="G92" i="3" l="1"/>
  <c r="E92" i="3"/>
  <c r="H92" i="3" s="1"/>
  <c r="F92" i="3" l="1"/>
  <c r="I92" i="3"/>
  <c r="J92" i="3"/>
  <c r="M92" i="3"/>
  <c r="N92" i="3" s="1"/>
  <c r="K92" i="3"/>
  <c r="V92" i="3" l="1"/>
  <c r="W92" i="3" s="1"/>
  <c r="AE92" i="3"/>
  <c r="L92" i="3"/>
  <c r="U92" i="3" l="1"/>
  <c r="D93" i="3" s="1"/>
  <c r="AH93" i="3"/>
  <c r="AG93" i="3"/>
  <c r="Y91" i="3"/>
  <c r="E93" i="3" l="1"/>
  <c r="H93" i="3" s="1"/>
  <c r="K93" i="3" s="1"/>
  <c r="G93" i="3"/>
  <c r="F93" i="3" l="1"/>
  <c r="I93" i="3"/>
  <c r="J93" i="3"/>
  <c r="M93" i="3"/>
  <c r="N93" i="3" s="1"/>
  <c r="V93" i="3"/>
  <c r="AE93" i="3"/>
  <c r="W93" i="3" l="1"/>
  <c r="L93" i="3"/>
  <c r="AG94" i="3" l="1"/>
  <c r="AH94" i="3"/>
  <c r="U93" i="3"/>
  <c r="D94" i="3" s="1"/>
  <c r="Y92" i="3"/>
  <c r="E94" i="3" l="1"/>
  <c r="H94" i="3" s="1"/>
  <c r="K94" i="3" s="1"/>
  <c r="G94" i="3"/>
  <c r="F94" i="3" l="1"/>
  <c r="I94" i="3"/>
  <c r="J94" i="3"/>
  <c r="M94" i="3"/>
  <c r="N94" i="3" s="1"/>
  <c r="V94" i="3"/>
  <c r="AE94" i="3"/>
  <c r="L94" i="3" l="1"/>
  <c r="W94" i="3"/>
  <c r="U94" i="3" l="1"/>
  <c r="D95" i="3" s="1"/>
  <c r="AG95" i="3"/>
  <c r="AH95" i="3"/>
  <c r="Y93" i="3"/>
  <c r="E95" i="3" l="1"/>
  <c r="H95" i="3" s="1"/>
  <c r="K95" i="3" s="1"/>
  <c r="G95" i="3"/>
  <c r="F95" i="3" l="1"/>
  <c r="I95" i="3"/>
  <c r="J95" i="3"/>
  <c r="M95" i="3"/>
  <c r="N95" i="3" s="1"/>
  <c r="V95" i="3"/>
  <c r="AE95" i="3"/>
  <c r="W95" i="3" l="1"/>
  <c r="L95" i="3"/>
  <c r="AG96" i="3" l="1"/>
  <c r="AH96" i="3"/>
  <c r="U95" i="3"/>
  <c r="D96" i="3" s="1"/>
  <c r="Y94" i="3"/>
  <c r="G96" i="3" l="1"/>
  <c r="E96" i="3"/>
  <c r="H96" i="3" s="1"/>
  <c r="F96" i="3" l="1"/>
  <c r="I96" i="3"/>
  <c r="J96" i="3"/>
  <c r="M96" i="3"/>
  <c r="N96" i="3" s="1"/>
  <c r="K96" i="3"/>
  <c r="L96" i="3" l="1"/>
  <c r="V96" i="3"/>
  <c r="W96" i="3" s="1"/>
  <c r="AE96" i="3"/>
  <c r="AG97" i="3" l="1"/>
  <c r="AH97" i="3"/>
  <c r="U96" i="3"/>
  <c r="E97" i="3" s="1"/>
  <c r="H97" i="3" s="1"/>
  <c r="Y95" i="3"/>
  <c r="K97" i="3" l="1"/>
  <c r="D97" i="3"/>
  <c r="V97" i="3" l="1"/>
  <c r="AE97" i="3"/>
  <c r="F97" i="3"/>
  <c r="G97" i="3"/>
  <c r="I97" i="3" l="1"/>
  <c r="W97" i="3" s="1"/>
  <c r="J97" i="3"/>
  <c r="M97" i="3"/>
  <c r="N97" i="3" s="1"/>
  <c r="L97" i="3" l="1"/>
  <c r="U97" i="3" l="1"/>
  <c r="D98" i="3" s="1"/>
  <c r="AH98" i="3"/>
  <c r="AG98" i="3"/>
  <c r="Y96" i="3"/>
  <c r="G98" i="3" l="1"/>
  <c r="E98" i="3"/>
  <c r="H98" i="3" s="1"/>
  <c r="I98" i="3" l="1"/>
  <c r="J98" i="3"/>
  <c r="M98" i="3"/>
  <c r="N98" i="3" s="1"/>
  <c r="F98" i="3"/>
  <c r="K98" i="3"/>
  <c r="L98" i="3" l="1"/>
  <c r="V98" i="3"/>
  <c r="W98" i="3" s="1"/>
  <c r="AE98" i="3"/>
  <c r="AG99" i="3" l="1"/>
  <c r="AH99" i="3"/>
  <c r="U98" i="3"/>
  <c r="D99" i="3" s="1"/>
  <c r="Y97" i="3"/>
  <c r="G99" i="3" l="1"/>
  <c r="E99" i="3"/>
  <c r="H99" i="3" s="1"/>
  <c r="F99" i="3" l="1"/>
  <c r="I99" i="3"/>
  <c r="J99" i="3"/>
  <c r="M99" i="3"/>
  <c r="N99" i="3" s="1"/>
  <c r="K99" i="3"/>
  <c r="V99" i="3" l="1"/>
  <c r="W99" i="3" s="1"/>
  <c r="AE99" i="3"/>
  <c r="L99" i="3"/>
  <c r="U99" i="3" l="1"/>
  <c r="D100" i="3" s="1"/>
  <c r="AH100" i="3"/>
  <c r="AG100" i="3"/>
  <c r="Y98" i="3"/>
  <c r="E100" i="3" l="1"/>
  <c r="H100" i="3" s="1"/>
  <c r="K100" i="3" s="1"/>
  <c r="G100" i="3"/>
  <c r="F100" i="3" l="1"/>
  <c r="V100" i="3"/>
  <c r="AE100" i="3"/>
  <c r="I100" i="3"/>
  <c r="J100" i="3"/>
  <c r="M100" i="3"/>
  <c r="N100" i="3" s="1"/>
  <c r="W100" i="3" l="1"/>
  <c r="L100" i="3"/>
  <c r="AH101" i="3" l="1"/>
  <c r="U100" i="3"/>
  <c r="E101" i="3" s="1"/>
  <c r="H101" i="3" s="1"/>
  <c r="AG101" i="3"/>
  <c r="Y99" i="3"/>
  <c r="K101" i="3" l="1"/>
  <c r="D101" i="3"/>
  <c r="V101" i="3" l="1"/>
  <c r="AE101" i="3"/>
  <c r="F101" i="3"/>
  <c r="G101" i="3"/>
  <c r="I101" i="3" l="1"/>
  <c r="W101" i="3" s="1"/>
  <c r="J101" i="3"/>
  <c r="M101" i="3"/>
  <c r="N101" i="3" s="1"/>
  <c r="L101" i="3" l="1"/>
  <c r="AH102" i="3" l="1"/>
  <c r="AG102" i="3"/>
  <c r="U101" i="3"/>
  <c r="E102" i="3" s="1"/>
  <c r="H102" i="3" s="1"/>
  <c r="Y100" i="3"/>
  <c r="K102" i="3" l="1"/>
  <c r="D102" i="3"/>
  <c r="V102" i="3" l="1"/>
  <c r="AE102" i="3"/>
  <c r="F102" i="3"/>
  <c r="G102" i="3"/>
  <c r="I102" i="3" l="1"/>
  <c r="W102" i="3" s="1"/>
  <c r="J102" i="3"/>
  <c r="M102" i="3"/>
  <c r="N102" i="3" s="1"/>
  <c r="L102" i="3" l="1"/>
  <c r="AG103" i="3" l="1"/>
  <c r="AH103" i="3"/>
  <c r="U102" i="3"/>
  <c r="E103" i="3" s="1"/>
  <c r="H103" i="3" s="1"/>
  <c r="Y101" i="3"/>
  <c r="K103" i="3" l="1"/>
  <c r="D103" i="3"/>
  <c r="V103" i="3" l="1"/>
  <c r="AE103" i="3"/>
  <c r="F103" i="3"/>
  <c r="G103" i="3"/>
  <c r="I103" i="3" l="1"/>
  <c r="W103" i="3" s="1"/>
  <c r="J103" i="3"/>
  <c r="M103" i="3"/>
  <c r="N103" i="3" s="1"/>
  <c r="L103" i="3" l="1"/>
  <c r="AG104" i="3" l="1"/>
  <c r="AH104" i="3"/>
  <c r="U103" i="3"/>
  <c r="E104" i="3" s="1"/>
  <c r="H104" i="3" s="1"/>
  <c r="Y102" i="3"/>
  <c r="K104" i="3" l="1"/>
  <c r="D104" i="3"/>
  <c r="V104" i="3" l="1"/>
  <c r="AE104" i="3"/>
  <c r="F104" i="3"/>
  <c r="G104" i="3"/>
  <c r="I104" i="3" l="1"/>
  <c r="W104" i="3" s="1"/>
  <c r="J104" i="3"/>
  <c r="M104" i="3"/>
  <c r="N104" i="3" s="1"/>
  <c r="L104" i="3" l="1"/>
  <c r="AD104" i="3"/>
  <c r="U104" i="3" l="1"/>
  <c r="E105" i="3" s="1"/>
  <c r="H105" i="3" s="1"/>
  <c r="AG105" i="3"/>
  <c r="AH105" i="3"/>
  <c r="Y103" i="3"/>
  <c r="D105" i="3" l="1"/>
  <c r="G105" i="3" s="1"/>
  <c r="K105" i="3"/>
  <c r="F105" i="3" l="1"/>
  <c r="V105" i="3"/>
  <c r="AE105" i="3"/>
  <c r="I105" i="3"/>
  <c r="J105" i="3"/>
  <c r="M105" i="3"/>
  <c r="N105" i="3" s="1"/>
  <c r="W105" i="3" l="1"/>
  <c r="L105" i="3"/>
  <c r="AH106" i="3" l="1"/>
  <c r="AG106" i="3"/>
  <c r="U105" i="3"/>
  <c r="D106" i="3" s="1"/>
  <c r="Y104" i="3"/>
  <c r="E106" i="3" l="1"/>
  <c r="H106" i="3" s="1"/>
  <c r="K106" i="3" s="1"/>
  <c r="G106" i="3"/>
  <c r="F106" i="3" l="1"/>
  <c r="V106" i="3"/>
  <c r="AE106" i="3"/>
  <c r="I106" i="3"/>
  <c r="J106" i="3"/>
  <c r="M106" i="3"/>
  <c r="N106" i="3" s="1"/>
  <c r="W106" i="3" l="1"/>
  <c r="L106" i="3"/>
  <c r="AG107" i="3" l="1"/>
  <c r="AH107" i="3"/>
  <c r="U106" i="3"/>
  <c r="E107" i="3" s="1"/>
  <c r="H107" i="3" s="1"/>
  <c r="Y105" i="3"/>
  <c r="K107" i="3" l="1"/>
  <c r="D107" i="3"/>
  <c r="V107" i="3" l="1"/>
  <c r="AE107" i="3"/>
  <c r="F107" i="3"/>
  <c r="G107" i="3"/>
  <c r="I107" i="3" l="1"/>
  <c r="W107" i="3" s="1"/>
  <c r="J107" i="3"/>
  <c r="M107" i="3"/>
  <c r="N107" i="3" s="1"/>
  <c r="L107" i="3" l="1"/>
  <c r="AH108" i="3" l="1"/>
  <c r="U107" i="3"/>
  <c r="E108" i="3" s="1"/>
  <c r="H108" i="3" s="1"/>
  <c r="AG108" i="3"/>
  <c r="Y106" i="3"/>
  <c r="D108" i="3" l="1"/>
  <c r="G108" i="3" s="1"/>
  <c r="K108" i="3"/>
  <c r="F108" i="3" l="1"/>
  <c r="I108" i="3"/>
  <c r="J108" i="3"/>
  <c r="M108" i="3"/>
  <c r="N108" i="3" s="1"/>
  <c r="V108" i="3"/>
  <c r="AE108" i="3"/>
  <c r="W108" i="3" l="1"/>
  <c r="L108" i="3"/>
  <c r="AG109" i="3" l="1"/>
  <c r="U108" i="3"/>
  <c r="D109" i="3" s="1"/>
  <c r="AH109" i="3"/>
  <c r="Y107" i="3"/>
  <c r="E109" i="3" l="1"/>
  <c r="H109" i="3" s="1"/>
  <c r="K109" i="3" s="1"/>
  <c r="G109" i="3"/>
  <c r="F109" i="3" l="1"/>
  <c r="V109" i="3"/>
  <c r="AE109" i="3"/>
  <c r="I109" i="3"/>
  <c r="J109" i="3"/>
  <c r="M109" i="3"/>
  <c r="N109" i="3" s="1"/>
  <c r="L109" i="3" l="1"/>
  <c r="W109" i="3"/>
  <c r="AH110" i="3" l="1"/>
  <c r="AG110" i="3"/>
  <c r="U109" i="3"/>
  <c r="D110" i="3" s="1"/>
  <c r="Y108" i="3"/>
  <c r="E110" i="3" l="1"/>
  <c r="H110" i="3" s="1"/>
  <c r="K110" i="3" s="1"/>
  <c r="G110" i="3"/>
  <c r="F110" i="3" l="1"/>
  <c r="I110" i="3"/>
  <c r="J110" i="3"/>
  <c r="M110" i="3"/>
  <c r="N110" i="3" s="1"/>
  <c r="V110" i="3"/>
  <c r="AE110" i="3"/>
  <c r="W110" i="3" l="1"/>
  <c r="L110" i="3"/>
  <c r="AH111" i="3" l="1"/>
  <c r="U110" i="3"/>
  <c r="E111" i="3" s="1"/>
  <c r="H111" i="3" s="1"/>
  <c r="AG111" i="3"/>
  <c r="Y109" i="3"/>
  <c r="D111" i="3" l="1"/>
  <c r="G111" i="3" s="1"/>
  <c r="K111" i="3"/>
  <c r="F111" i="3" l="1"/>
  <c r="I111" i="3"/>
  <c r="J111" i="3"/>
  <c r="M111" i="3"/>
  <c r="N111" i="3" s="1"/>
  <c r="V111" i="3"/>
  <c r="AE111" i="3"/>
  <c r="W111" i="3" l="1"/>
  <c r="L111" i="3"/>
  <c r="AH112" i="3" l="1"/>
  <c r="U111" i="3"/>
  <c r="D112" i="3" s="1"/>
  <c r="AG112" i="3"/>
  <c r="Y110" i="3"/>
  <c r="E112" i="3" l="1"/>
  <c r="H112" i="3" s="1"/>
  <c r="K112" i="3" s="1"/>
  <c r="G112" i="3"/>
  <c r="F112" i="3" l="1"/>
  <c r="V112" i="3"/>
  <c r="AE112" i="3"/>
  <c r="I112" i="3"/>
  <c r="J112" i="3"/>
  <c r="M112" i="3"/>
  <c r="N112" i="3" s="1"/>
  <c r="W112" i="3" l="1"/>
  <c r="L112" i="3"/>
  <c r="AG113" i="3" l="1"/>
  <c r="U112" i="3"/>
  <c r="E113" i="3" s="1"/>
  <c r="H113" i="3" s="1"/>
  <c r="AH113" i="3"/>
  <c r="Y111" i="3"/>
  <c r="D113" i="3" l="1"/>
  <c r="G113" i="3" s="1"/>
  <c r="K113" i="3"/>
  <c r="F113" i="3" l="1"/>
  <c r="V113" i="3"/>
  <c r="AE113" i="3"/>
  <c r="I113" i="3"/>
  <c r="J113" i="3"/>
  <c r="M113" i="3"/>
  <c r="N113" i="3" s="1"/>
  <c r="W113" i="3" l="1"/>
  <c r="L113" i="3"/>
  <c r="AH114" i="3" l="1"/>
  <c r="U113" i="3"/>
  <c r="D114" i="3" s="1"/>
  <c r="AG114" i="3"/>
  <c r="Y112" i="3"/>
  <c r="E114" i="3" l="1"/>
  <c r="H114" i="3" s="1"/>
  <c r="K114" i="3" s="1"/>
  <c r="G114" i="3"/>
  <c r="F114" i="3" l="1"/>
  <c r="I114" i="3"/>
  <c r="J114" i="3"/>
  <c r="M114" i="3"/>
  <c r="N114" i="3" s="1"/>
  <c r="V114" i="3"/>
  <c r="AE114" i="3"/>
  <c r="W114" i="3" l="1"/>
  <c r="L114" i="3"/>
  <c r="U114" i="3" l="1"/>
  <c r="D115" i="3" s="1"/>
  <c r="AH115" i="3"/>
  <c r="AG115" i="3"/>
  <c r="Y113" i="3"/>
  <c r="G115" i="3" l="1"/>
  <c r="E115" i="3"/>
  <c r="H115" i="3" s="1"/>
  <c r="F115" i="3" l="1"/>
  <c r="I115" i="3"/>
  <c r="J115" i="3"/>
  <c r="M115" i="3"/>
  <c r="N115" i="3" s="1"/>
  <c r="K115" i="3"/>
  <c r="V115" i="3" l="1"/>
  <c r="W115" i="3" s="1"/>
  <c r="AE115" i="3"/>
  <c r="L115" i="3"/>
  <c r="AH116" i="3" l="1"/>
  <c r="U115" i="3"/>
  <c r="E116" i="3" s="1"/>
  <c r="H116" i="3" s="1"/>
  <c r="AG116" i="3"/>
  <c r="Y114" i="3"/>
  <c r="K116" i="3" l="1"/>
  <c r="D116" i="3"/>
  <c r="V116" i="3" l="1"/>
  <c r="AE116" i="3"/>
  <c r="F116" i="3"/>
  <c r="G116" i="3"/>
  <c r="I116" i="3" l="1"/>
  <c r="W116" i="3" s="1"/>
  <c r="J116" i="3"/>
  <c r="M116" i="3"/>
  <c r="N116" i="3" s="1"/>
  <c r="L116" i="3" l="1"/>
  <c r="U116" i="3" l="1"/>
  <c r="D117" i="3" s="1"/>
  <c r="AH117" i="3"/>
  <c r="AG117" i="3"/>
  <c r="Y115" i="3"/>
  <c r="E117" i="3" l="1"/>
  <c r="H117" i="3" s="1"/>
  <c r="K117" i="3" s="1"/>
  <c r="G117" i="3"/>
  <c r="F117" i="3" l="1"/>
  <c r="I117" i="3"/>
  <c r="J117" i="3"/>
  <c r="M117" i="3"/>
  <c r="N117" i="3" s="1"/>
  <c r="V117" i="3"/>
  <c r="AE117" i="3"/>
  <c r="W117" i="3" l="1"/>
  <c r="L117" i="3"/>
  <c r="AG118" i="3" l="1"/>
  <c r="U117" i="3"/>
  <c r="D118" i="3" s="1"/>
  <c r="AH118" i="3"/>
  <c r="Y116" i="3"/>
  <c r="E118" i="3" l="1"/>
  <c r="H118" i="3" s="1"/>
  <c r="K118" i="3" s="1"/>
  <c r="G118" i="3"/>
  <c r="F118" i="3" l="1"/>
  <c r="I118" i="3"/>
  <c r="J118" i="3"/>
  <c r="M118" i="3"/>
  <c r="N118" i="3" s="1"/>
  <c r="V118" i="3"/>
  <c r="AE118" i="3"/>
  <c r="L118" i="3" l="1"/>
  <c r="W118" i="3"/>
  <c r="U118" i="3" l="1"/>
  <c r="E119" i="3" s="1"/>
  <c r="H119" i="3" s="1"/>
  <c r="AG119" i="3"/>
  <c r="AH119" i="3"/>
  <c r="Y117" i="3"/>
  <c r="D119" i="3" l="1"/>
  <c r="F119" i="3" s="1"/>
  <c r="K119" i="3"/>
  <c r="G119" i="3" l="1"/>
  <c r="M119" i="3" s="1"/>
  <c r="N119" i="3" s="1"/>
  <c r="V119" i="3"/>
  <c r="AE119" i="3"/>
  <c r="I119" i="3" l="1"/>
  <c r="W119" i="3" s="1"/>
  <c r="J119" i="3"/>
  <c r="L119" i="3" s="1"/>
  <c r="AH120" i="3" l="1"/>
  <c r="U119" i="3"/>
  <c r="D120" i="3" s="1"/>
  <c r="AG120" i="3"/>
  <c r="Y118" i="3"/>
  <c r="E120" i="3" l="1"/>
  <c r="H120" i="3" s="1"/>
  <c r="K120" i="3" s="1"/>
  <c r="G120" i="3"/>
  <c r="F120" i="3" l="1"/>
  <c r="I120" i="3"/>
  <c r="J120" i="3"/>
  <c r="M120" i="3"/>
  <c r="N120" i="3" s="1"/>
  <c r="V120" i="3"/>
  <c r="AE120" i="3"/>
  <c r="W120" i="3" l="1"/>
  <c r="L120" i="3"/>
  <c r="U120" i="3" l="1"/>
  <c r="E121" i="3" s="1"/>
  <c r="H121" i="3" s="1"/>
  <c r="AH121" i="3"/>
  <c r="AG121" i="3"/>
  <c r="Y119" i="3"/>
  <c r="D121" i="3" l="1"/>
  <c r="G121" i="3" s="1"/>
  <c r="K121" i="3"/>
  <c r="F121" i="3" l="1"/>
  <c r="I121" i="3"/>
  <c r="J121" i="3"/>
  <c r="M121" i="3"/>
  <c r="N121" i="3" s="1"/>
  <c r="V121" i="3"/>
  <c r="AE121" i="3"/>
  <c r="L121" i="3" l="1"/>
  <c r="W121" i="3"/>
  <c r="U121" i="3" l="1"/>
  <c r="D122" i="3" s="1"/>
  <c r="AG122" i="3"/>
  <c r="AH122" i="3"/>
  <c r="Y120" i="3"/>
  <c r="G122" i="3" l="1"/>
  <c r="E122" i="3"/>
  <c r="H122" i="3" s="1"/>
  <c r="F122" i="3" l="1"/>
  <c r="K122" i="3"/>
  <c r="I122" i="3"/>
  <c r="J122" i="3"/>
  <c r="M122" i="3"/>
  <c r="N122" i="3" s="1"/>
  <c r="L122" i="3" l="1"/>
  <c r="V122" i="3"/>
  <c r="W122" i="3" s="1"/>
  <c r="AE122" i="3"/>
  <c r="U122" i="3" l="1"/>
  <c r="D123" i="3" s="1"/>
  <c r="AH123" i="3"/>
  <c r="AG123" i="3"/>
  <c r="Y121" i="3"/>
  <c r="G123" i="3" l="1"/>
  <c r="E123" i="3"/>
  <c r="H123" i="3" s="1"/>
  <c r="I123" i="3" l="1"/>
  <c r="J123" i="3"/>
  <c r="M123" i="3"/>
  <c r="N123" i="3" s="1"/>
  <c r="K123" i="3"/>
  <c r="F123" i="3"/>
  <c r="V123" i="3" l="1"/>
  <c r="W123" i="3" s="1"/>
  <c r="AE123" i="3"/>
  <c r="L123" i="3"/>
  <c r="U123" i="3" l="1"/>
  <c r="D124" i="3" s="1"/>
  <c r="AH124" i="3"/>
  <c r="AG124" i="3"/>
  <c r="Y122" i="3"/>
  <c r="E124" i="3" l="1"/>
  <c r="H124" i="3" s="1"/>
  <c r="K124" i="3" s="1"/>
  <c r="G124" i="3"/>
  <c r="F124" i="3" l="1"/>
  <c r="I124" i="3"/>
  <c r="J124" i="3"/>
  <c r="M124" i="3"/>
  <c r="N124" i="3" s="1"/>
  <c r="V124" i="3"/>
  <c r="AE124" i="3"/>
  <c r="W124" i="3" l="1"/>
  <c r="L124" i="3"/>
  <c r="U124" i="3" l="1"/>
  <c r="E125" i="3" s="1"/>
  <c r="H125" i="3" s="1"/>
  <c r="AH125" i="3"/>
  <c r="AG125" i="3"/>
  <c r="Y123" i="3"/>
  <c r="K125" i="3" l="1"/>
  <c r="D125" i="3"/>
  <c r="V125" i="3" l="1"/>
  <c r="AE125" i="3"/>
  <c r="F125" i="3"/>
  <c r="G125" i="3"/>
  <c r="I125" i="3" l="1"/>
  <c r="W125" i="3" s="1"/>
  <c r="J125" i="3"/>
  <c r="M125" i="3"/>
  <c r="N125" i="3" s="1"/>
  <c r="L125" i="3" l="1"/>
  <c r="AG126" i="3" l="1"/>
  <c r="AH126" i="3"/>
  <c r="U125" i="3"/>
  <c r="D126" i="3" s="1"/>
  <c r="Y124" i="3"/>
  <c r="E126" i="3" l="1"/>
  <c r="H126" i="3" s="1"/>
  <c r="K126" i="3" s="1"/>
  <c r="G126" i="3"/>
  <c r="F126" i="3" l="1"/>
  <c r="I126" i="3"/>
  <c r="J126" i="3"/>
  <c r="M126" i="3"/>
  <c r="N126" i="3" s="1"/>
  <c r="V126" i="3"/>
  <c r="AE126" i="3"/>
  <c r="W126" i="3" l="1"/>
  <c r="L126" i="3"/>
  <c r="U126" i="3" l="1"/>
  <c r="E127" i="3" s="1"/>
  <c r="H127" i="3" s="1"/>
  <c r="AH127" i="3"/>
  <c r="AG127" i="3"/>
  <c r="Y125" i="3"/>
  <c r="D127" i="3" l="1"/>
  <c r="G127" i="3" s="1"/>
  <c r="K127" i="3"/>
  <c r="F127" i="3" l="1"/>
  <c r="I127" i="3"/>
  <c r="J127" i="3"/>
  <c r="M127" i="3"/>
  <c r="N127" i="3" s="1"/>
  <c r="V127" i="3"/>
  <c r="AE127" i="3"/>
  <c r="W127" i="3" l="1"/>
  <c r="L127" i="3"/>
  <c r="AH128" i="3" l="1"/>
  <c r="U127" i="3"/>
  <c r="E128" i="3" s="1"/>
  <c r="H128" i="3" s="1"/>
  <c r="AG128" i="3"/>
  <c r="Y126" i="3"/>
  <c r="D128" i="3" l="1"/>
  <c r="G128" i="3" s="1"/>
  <c r="K128" i="3"/>
  <c r="F128" i="3" l="1"/>
  <c r="I128" i="3"/>
  <c r="J128" i="3"/>
  <c r="M128" i="3"/>
  <c r="N128" i="3" s="1"/>
  <c r="V128" i="3"/>
  <c r="AE128" i="3"/>
  <c r="W128" i="3" l="1"/>
  <c r="L128" i="3"/>
  <c r="AH129" i="3" l="1"/>
  <c r="U128" i="3"/>
  <c r="D129" i="3" s="1"/>
  <c r="AG129" i="3"/>
  <c r="Y127" i="3"/>
  <c r="G129" i="3" l="1"/>
  <c r="E129" i="3"/>
  <c r="H129" i="3" s="1"/>
  <c r="F129" i="3" l="1"/>
  <c r="I129" i="3"/>
  <c r="J129" i="3"/>
  <c r="M129" i="3"/>
  <c r="N129" i="3" s="1"/>
  <c r="K129" i="3"/>
  <c r="V129" i="3" l="1"/>
  <c r="W129" i="3" s="1"/>
  <c r="AE129" i="3"/>
  <c r="L129" i="3"/>
  <c r="U129" i="3" l="1"/>
  <c r="E130" i="3" s="1"/>
  <c r="H130" i="3" s="1"/>
  <c r="AH130" i="3"/>
  <c r="AG130" i="3"/>
  <c r="Y128" i="3"/>
  <c r="D130" i="3" l="1"/>
  <c r="G130" i="3" s="1"/>
  <c r="K130" i="3"/>
  <c r="F130" i="3" l="1"/>
  <c r="V130" i="3"/>
  <c r="AE130" i="3"/>
  <c r="I130" i="3"/>
  <c r="J130" i="3"/>
  <c r="M130" i="3"/>
  <c r="N130" i="3" s="1"/>
  <c r="L130" i="3" l="1"/>
  <c r="W130" i="3"/>
  <c r="U130" i="3" l="1"/>
  <c r="E131" i="3" s="1"/>
  <c r="H131" i="3" s="1"/>
  <c r="AH131" i="3"/>
  <c r="AG131" i="3"/>
  <c r="Y129" i="3"/>
  <c r="D131" i="3" l="1"/>
  <c r="F131" i="3" s="1"/>
  <c r="K131" i="3"/>
  <c r="G131" i="3" l="1"/>
  <c r="M131" i="3" s="1"/>
  <c r="N131" i="3" s="1"/>
  <c r="V131" i="3"/>
  <c r="AE131" i="3"/>
  <c r="J131" i="3" l="1"/>
  <c r="L131" i="3" s="1"/>
  <c r="I131" i="3"/>
  <c r="W131" i="3" s="1"/>
  <c r="U131" i="3" l="1"/>
  <c r="E132" i="3" s="1"/>
  <c r="H132" i="3" s="1"/>
  <c r="AH132" i="3"/>
  <c r="AG132" i="3"/>
  <c r="Y130" i="3"/>
  <c r="K132" i="3" l="1"/>
  <c r="D132" i="3"/>
  <c r="V132" i="3" l="1"/>
  <c r="AE132" i="3"/>
  <c r="F132" i="3"/>
  <c r="G132" i="3"/>
  <c r="I132" i="3" l="1"/>
  <c r="W132" i="3" s="1"/>
  <c r="J132" i="3"/>
  <c r="M132" i="3"/>
  <c r="N132" i="3" s="1"/>
  <c r="L132" i="3" l="1"/>
  <c r="U132" i="3" l="1"/>
  <c r="D133" i="3" s="1"/>
  <c r="AH133" i="3"/>
  <c r="AG133" i="3"/>
  <c r="Y131" i="3"/>
  <c r="E133" i="3" l="1"/>
  <c r="H133" i="3" s="1"/>
  <c r="K133" i="3" s="1"/>
  <c r="G133" i="3"/>
  <c r="F133" i="3" l="1"/>
  <c r="V133" i="3"/>
  <c r="AE133" i="3"/>
  <c r="I133" i="3"/>
  <c r="J133" i="3"/>
  <c r="M133" i="3"/>
  <c r="N133" i="3" s="1"/>
  <c r="W133" i="3" l="1"/>
  <c r="L133" i="3"/>
  <c r="AG134" i="3" l="1"/>
  <c r="U133" i="3"/>
  <c r="D134" i="3" s="1"/>
  <c r="AH134" i="3"/>
  <c r="Y132" i="3"/>
  <c r="E134" i="3" l="1"/>
  <c r="H134" i="3" s="1"/>
  <c r="K134" i="3" s="1"/>
  <c r="G134" i="3"/>
  <c r="F134" i="3" l="1"/>
  <c r="I134" i="3"/>
  <c r="J134" i="3"/>
  <c r="M134" i="3"/>
  <c r="N134" i="3" s="1"/>
  <c r="V134" i="3"/>
  <c r="AE134" i="3"/>
  <c r="W134" i="3" l="1"/>
  <c r="L134" i="3"/>
  <c r="U134" i="3" l="1"/>
  <c r="E135" i="3" s="1"/>
  <c r="H135" i="3" s="1"/>
  <c r="AH135" i="3"/>
  <c r="AG135" i="3"/>
  <c r="Y133" i="3"/>
  <c r="K135" i="3" l="1"/>
  <c r="D135" i="3"/>
  <c r="V135" i="3" l="1"/>
  <c r="AE135" i="3"/>
  <c r="F135" i="3"/>
  <c r="G135" i="3"/>
  <c r="I135" i="3" l="1"/>
  <c r="W135" i="3" s="1"/>
  <c r="J135" i="3"/>
  <c r="M135" i="3"/>
  <c r="N135" i="3" s="1"/>
  <c r="L135" i="3" l="1"/>
  <c r="AH136" i="3" l="1"/>
  <c r="U135" i="3"/>
  <c r="D136" i="3" s="1"/>
  <c r="AG136" i="3"/>
  <c r="Y134" i="3"/>
  <c r="E136" i="3" l="1"/>
  <c r="H136" i="3" s="1"/>
  <c r="K136" i="3" s="1"/>
  <c r="G136" i="3"/>
  <c r="F136" i="3" l="1"/>
  <c r="I136" i="3"/>
  <c r="J136" i="3"/>
  <c r="M136" i="3"/>
  <c r="N136" i="3" s="1"/>
  <c r="V136" i="3"/>
  <c r="AE136" i="3"/>
  <c r="W136" i="3" l="1"/>
  <c r="L136" i="3"/>
  <c r="U136" i="3" l="1"/>
  <c r="D137" i="3" s="1"/>
  <c r="AH137" i="3"/>
  <c r="AG137" i="3"/>
  <c r="Y135" i="3"/>
  <c r="E137" i="3" l="1"/>
  <c r="H137" i="3" s="1"/>
  <c r="K137" i="3" s="1"/>
  <c r="G137" i="3"/>
  <c r="F137" i="3" l="1"/>
  <c r="I137" i="3"/>
  <c r="J137" i="3"/>
  <c r="M137" i="3"/>
  <c r="N137" i="3" s="1"/>
  <c r="V137" i="3"/>
  <c r="AE137" i="3"/>
  <c r="W137" i="3" l="1"/>
  <c r="L137" i="3"/>
  <c r="AH138" i="3" l="1"/>
  <c r="U137" i="3"/>
  <c r="E138" i="3" s="1"/>
  <c r="H138" i="3" s="1"/>
  <c r="AG138" i="3"/>
  <c r="Y136" i="3"/>
  <c r="D138" i="3" l="1"/>
  <c r="F138" i="3" s="1"/>
  <c r="K138" i="3"/>
  <c r="G138" i="3" l="1"/>
  <c r="M138" i="3" s="1"/>
  <c r="N138" i="3" s="1"/>
  <c r="V138" i="3"/>
  <c r="AE138" i="3"/>
  <c r="I138" i="3" l="1"/>
  <c r="W138" i="3" s="1"/>
  <c r="J138" i="3"/>
  <c r="L138" i="3" s="1"/>
  <c r="U138" i="3" l="1"/>
  <c r="E139" i="3" s="1"/>
  <c r="H139" i="3" s="1"/>
  <c r="AG139" i="3"/>
  <c r="AH139" i="3"/>
  <c r="Y137" i="3"/>
  <c r="D139" i="3" l="1"/>
  <c r="G139" i="3" s="1"/>
  <c r="K139" i="3"/>
  <c r="F139" i="3" l="1"/>
  <c r="V139" i="3"/>
  <c r="AE139" i="3"/>
  <c r="I139" i="3"/>
  <c r="J139" i="3"/>
  <c r="M139" i="3"/>
  <c r="N139" i="3" s="1"/>
  <c r="W139" i="3" l="1"/>
  <c r="L139" i="3"/>
  <c r="AG140" i="3" l="1"/>
  <c r="U139" i="3"/>
  <c r="E140" i="3" s="1"/>
  <c r="H140" i="3" s="1"/>
  <c r="AH140" i="3"/>
  <c r="Y138" i="3"/>
  <c r="D140" i="3" l="1"/>
  <c r="G140" i="3" s="1"/>
  <c r="K140" i="3"/>
  <c r="F140" i="3" l="1"/>
  <c r="V140" i="3"/>
  <c r="AE140" i="3"/>
  <c r="I140" i="3"/>
  <c r="J140" i="3"/>
  <c r="M140" i="3"/>
  <c r="N140" i="3" s="1"/>
  <c r="W140" i="3" l="1"/>
  <c r="L140" i="3"/>
  <c r="AG141" i="3" l="1"/>
  <c r="U140" i="3"/>
  <c r="D141" i="3" s="1"/>
  <c r="AH141" i="3"/>
  <c r="Y139" i="3"/>
  <c r="E141" i="3" l="1"/>
  <c r="H141" i="3" s="1"/>
  <c r="K141" i="3" s="1"/>
  <c r="G141" i="3"/>
  <c r="F141" i="3" l="1"/>
  <c r="I141" i="3"/>
  <c r="J141" i="3"/>
  <c r="M141" i="3"/>
  <c r="N141" i="3" s="1"/>
  <c r="V141" i="3"/>
  <c r="AE141" i="3"/>
  <c r="W141" i="3" l="1"/>
  <c r="L141" i="3"/>
  <c r="U141" i="3" l="1"/>
  <c r="D142" i="3" s="1"/>
  <c r="AH142" i="3"/>
  <c r="AG142" i="3"/>
  <c r="Y140" i="3"/>
  <c r="E142" i="3" l="1"/>
  <c r="H142" i="3" s="1"/>
  <c r="K142" i="3" s="1"/>
  <c r="G142" i="3"/>
  <c r="F142" i="3" l="1"/>
  <c r="V142" i="3"/>
  <c r="AE142" i="3"/>
  <c r="I142" i="3"/>
  <c r="J142" i="3"/>
  <c r="M142" i="3"/>
  <c r="N142" i="3" s="1"/>
  <c r="W142" i="3" l="1"/>
  <c r="L142" i="3"/>
  <c r="U142" i="3" l="1"/>
  <c r="E143" i="3" s="1"/>
  <c r="H143" i="3" s="1"/>
  <c r="AG143" i="3"/>
  <c r="AH143" i="3"/>
  <c r="Y141" i="3"/>
  <c r="D143" i="3" l="1"/>
  <c r="F143" i="3" s="1"/>
  <c r="K143" i="3"/>
  <c r="G143" i="3" l="1"/>
  <c r="M143" i="3" s="1"/>
  <c r="N143" i="3" s="1"/>
  <c r="V143" i="3"/>
  <c r="AE143" i="3"/>
  <c r="J143" i="3" l="1"/>
  <c r="L143" i="3" s="1"/>
  <c r="I143" i="3"/>
  <c r="W143" i="3" s="1"/>
  <c r="U143" i="3" l="1"/>
  <c r="D144" i="3" s="1"/>
  <c r="AG144" i="3"/>
  <c r="AH144" i="3"/>
  <c r="Y142" i="3"/>
  <c r="E144" i="3" l="1"/>
  <c r="H144" i="3" s="1"/>
  <c r="K144" i="3" s="1"/>
  <c r="G144" i="3"/>
  <c r="F144" i="3" l="1"/>
  <c r="V144" i="3"/>
  <c r="AE144" i="3"/>
  <c r="I144" i="3"/>
  <c r="J144" i="3"/>
  <c r="M144" i="3"/>
  <c r="N144" i="3" s="1"/>
  <c r="W144" i="3" l="1"/>
  <c r="L144" i="3"/>
  <c r="AH145" i="3" l="1"/>
  <c r="AG145" i="3"/>
  <c r="U144" i="3"/>
  <c r="D145" i="3" s="1"/>
  <c r="Y143" i="3"/>
  <c r="E145" i="3" l="1"/>
  <c r="H145" i="3" s="1"/>
  <c r="K145" i="3" s="1"/>
  <c r="G145" i="3"/>
  <c r="F145" i="3" l="1"/>
  <c r="I145" i="3"/>
  <c r="J145" i="3"/>
  <c r="M145" i="3"/>
  <c r="N145" i="3" s="1"/>
  <c r="V145" i="3"/>
  <c r="AE145" i="3"/>
  <c r="W145" i="3" l="1"/>
  <c r="L145" i="3"/>
  <c r="U145" i="3" l="1"/>
  <c r="D146" i="3" s="1"/>
  <c r="AH146" i="3"/>
  <c r="AG146" i="3"/>
  <c r="Y144" i="3"/>
  <c r="E146" i="3" l="1"/>
  <c r="H146" i="3" s="1"/>
  <c r="K146" i="3" s="1"/>
  <c r="G146" i="3"/>
  <c r="F146" i="3" l="1"/>
  <c r="I146" i="3"/>
  <c r="J146" i="3"/>
  <c r="M146" i="3"/>
  <c r="N146" i="3" s="1"/>
  <c r="V146" i="3"/>
  <c r="AE146" i="3"/>
  <c r="W146" i="3" l="1"/>
  <c r="L146" i="3"/>
  <c r="U146" i="3" l="1"/>
  <c r="D147" i="3" s="1"/>
  <c r="AG147" i="3"/>
  <c r="AH147" i="3"/>
  <c r="Y145" i="3"/>
  <c r="E147" i="3" l="1"/>
  <c r="H147" i="3" s="1"/>
  <c r="K147" i="3" s="1"/>
  <c r="G147" i="3"/>
  <c r="F147" i="3" l="1"/>
  <c r="V147" i="3"/>
  <c r="AE147" i="3"/>
  <c r="I147" i="3"/>
  <c r="J147" i="3"/>
  <c r="M147" i="3"/>
  <c r="N147" i="3" s="1"/>
  <c r="W147" i="3" l="1"/>
  <c r="L147" i="3"/>
  <c r="AG148" i="3" l="1"/>
  <c r="U147" i="3"/>
  <c r="E148" i="3" s="1"/>
  <c r="H148" i="3" s="1"/>
  <c r="AH148" i="3"/>
  <c r="Y146" i="3"/>
  <c r="K148" i="3" l="1"/>
  <c r="D148" i="3"/>
  <c r="V148" i="3" l="1"/>
  <c r="AE148" i="3"/>
  <c r="F148" i="3"/>
  <c r="G148" i="3"/>
  <c r="I148" i="3" l="1"/>
  <c r="W148" i="3" s="1"/>
  <c r="J148" i="3"/>
  <c r="M148" i="3"/>
  <c r="N148" i="3" s="1"/>
  <c r="L148" i="3" l="1"/>
  <c r="AG149" i="3" l="1"/>
  <c r="U148" i="3"/>
  <c r="D149" i="3" s="1"/>
  <c r="AH149" i="3"/>
  <c r="Y147" i="3"/>
  <c r="E149" i="3" l="1"/>
  <c r="H149" i="3" s="1"/>
  <c r="K149" i="3" s="1"/>
  <c r="G149" i="3"/>
  <c r="F149" i="3" l="1"/>
  <c r="I149" i="3"/>
  <c r="J149" i="3"/>
  <c r="M149" i="3"/>
  <c r="N149" i="3" s="1"/>
  <c r="V149" i="3"/>
  <c r="AE149" i="3"/>
  <c r="W149" i="3" l="1"/>
  <c r="L149" i="3"/>
  <c r="AH150" i="3" l="1"/>
  <c r="U149" i="3"/>
  <c r="D150" i="3" s="1"/>
  <c r="AG150" i="3"/>
  <c r="Y148" i="3"/>
  <c r="E150" i="3" l="1"/>
  <c r="H150" i="3" s="1"/>
  <c r="K150" i="3" s="1"/>
  <c r="G150" i="3"/>
  <c r="F150" i="3" l="1"/>
  <c r="I150" i="3"/>
  <c r="J150" i="3"/>
  <c r="M150" i="3"/>
  <c r="N150" i="3" s="1"/>
  <c r="V150" i="3"/>
  <c r="AE150" i="3"/>
  <c r="W150" i="3" l="1"/>
  <c r="L150" i="3"/>
  <c r="AH151" i="3" l="1"/>
  <c r="U150" i="3"/>
  <c r="E151" i="3" s="1"/>
  <c r="H151" i="3" s="1"/>
  <c r="AG151" i="3"/>
  <c r="Y149" i="3"/>
  <c r="D151" i="3" l="1"/>
  <c r="G151" i="3" s="1"/>
  <c r="K151" i="3"/>
  <c r="F151" i="3" l="1"/>
  <c r="I151" i="3"/>
  <c r="J151" i="3"/>
  <c r="M151" i="3"/>
  <c r="N151" i="3" s="1"/>
  <c r="V151" i="3"/>
  <c r="AE151" i="3"/>
  <c r="W151" i="3" l="1"/>
  <c r="L151" i="3"/>
  <c r="AH152" i="3" l="1"/>
  <c r="AG152" i="3"/>
  <c r="U151" i="3"/>
  <c r="E152" i="3" s="1"/>
  <c r="H152" i="3" s="1"/>
  <c r="Y150" i="3"/>
  <c r="D152" i="3" l="1"/>
  <c r="G152" i="3" s="1"/>
  <c r="K152" i="3"/>
  <c r="F152" i="3" l="1"/>
  <c r="V152" i="3"/>
  <c r="AE152" i="3"/>
  <c r="I152" i="3"/>
  <c r="J152" i="3"/>
  <c r="M152" i="3"/>
  <c r="N152" i="3" s="1"/>
  <c r="W152" i="3" l="1"/>
  <c r="L152" i="3"/>
  <c r="AH153" i="3" l="1"/>
  <c r="U152" i="3"/>
  <c r="D153" i="3" s="1"/>
  <c r="AG153" i="3"/>
  <c r="Y151" i="3"/>
  <c r="G153" i="3" l="1"/>
  <c r="E153" i="3"/>
  <c r="H153" i="3" s="1"/>
  <c r="K153" i="3" l="1"/>
  <c r="I153" i="3"/>
  <c r="J153" i="3"/>
  <c r="M153" i="3"/>
  <c r="N153" i="3" s="1"/>
  <c r="F153" i="3"/>
  <c r="V153" i="3" l="1"/>
  <c r="W153" i="3" s="1"/>
  <c r="AE153" i="3"/>
  <c r="L153" i="3"/>
  <c r="U153" i="3" l="1"/>
  <c r="D154" i="3" s="1"/>
  <c r="AG154" i="3"/>
  <c r="AH154" i="3"/>
  <c r="Y152" i="3"/>
  <c r="E154" i="3" l="1"/>
  <c r="H154" i="3" s="1"/>
  <c r="K154" i="3" s="1"/>
  <c r="G154" i="3"/>
  <c r="F154" i="3" l="1"/>
  <c r="I154" i="3"/>
  <c r="J154" i="3"/>
  <c r="M154" i="3"/>
  <c r="N154" i="3" s="1"/>
  <c r="V154" i="3"/>
  <c r="AE154" i="3"/>
  <c r="L154" i="3" l="1"/>
  <c r="W154" i="3"/>
  <c r="U154" i="3" l="1"/>
  <c r="E155" i="3" s="1"/>
  <c r="H155" i="3" s="1"/>
  <c r="AH155" i="3"/>
  <c r="AG155" i="3"/>
  <c r="Y153" i="3"/>
  <c r="D155" i="3" l="1"/>
  <c r="G155" i="3" s="1"/>
  <c r="K155" i="3"/>
  <c r="F155" i="3" l="1"/>
  <c r="V155" i="3"/>
  <c r="AE155" i="3"/>
  <c r="I155" i="3"/>
  <c r="J155" i="3"/>
  <c r="M155" i="3"/>
  <c r="N155" i="3" s="1"/>
  <c r="W155" i="3" l="1"/>
  <c r="L155" i="3"/>
  <c r="AG156" i="3" l="1"/>
  <c r="U155" i="3"/>
  <c r="D156" i="3" s="1"/>
  <c r="AH156" i="3"/>
  <c r="Y154" i="3"/>
  <c r="E156" i="3" l="1"/>
  <c r="H156" i="3" s="1"/>
  <c r="K156" i="3" s="1"/>
  <c r="G156" i="3"/>
  <c r="F156" i="3" l="1"/>
  <c r="V156" i="3"/>
  <c r="AE156" i="3"/>
  <c r="I156" i="3"/>
  <c r="J156" i="3"/>
  <c r="M156" i="3"/>
  <c r="N156" i="3" s="1"/>
  <c r="W156" i="3" l="1"/>
  <c r="L156" i="3"/>
  <c r="U156" i="3" l="1"/>
  <c r="E157" i="3" s="1"/>
  <c r="H157" i="3" s="1"/>
  <c r="AH157" i="3"/>
  <c r="AG157" i="3"/>
  <c r="Y155" i="3"/>
  <c r="D157" i="3" l="1"/>
  <c r="G157" i="3" s="1"/>
  <c r="K157" i="3"/>
  <c r="F157" i="3" l="1"/>
  <c r="I157" i="3"/>
  <c r="J157" i="3"/>
  <c r="M157" i="3"/>
  <c r="N157" i="3" s="1"/>
  <c r="V157" i="3"/>
  <c r="AE157" i="3"/>
  <c r="W157" i="3" l="1"/>
  <c r="L157" i="3"/>
  <c r="U157" i="3" l="1"/>
  <c r="E158" i="3" s="1"/>
  <c r="H158" i="3" s="1"/>
  <c r="AH158" i="3"/>
  <c r="AG158" i="3"/>
  <c r="Y156" i="3"/>
  <c r="D158" i="3" l="1"/>
  <c r="F158" i="3" s="1"/>
  <c r="K158" i="3"/>
  <c r="G158" i="3" l="1"/>
  <c r="I158" i="3" s="1"/>
  <c r="V158" i="3"/>
  <c r="AE158" i="3"/>
  <c r="M158" i="3" l="1"/>
  <c r="N158" i="3" s="1"/>
  <c r="J158" i="3"/>
  <c r="L158" i="3" s="1"/>
  <c r="W158" i="3"/>
  <c r="U158" i="3" l="1"/>
  <c r="E159" i="3" s="1"/>
  <c r="H159" i="3" s="1"/>
  <c r="AG159" i="3"/>
  <c r="AH159" i="3"/>
  <c r="Y157" i="3"/>
  <c r="D159" i="3" l="1"/>
  <c r="F159" i="3" s="1"/>
  <c r="K159" i="3"/>
  <c r="G159" i="3" l="1"/>
  <c r="M159" i="3" s="1"/>
  <c r="N159" i="3" s="1"/>
  <c r="V159" i="3"/>
  <c r="AE159" i="3"/>
  <c r="I159" i="3" l="1"/>
  <c r="W159" i="3" s="1"/>
  <c r="J159" i="3"/>
  <c r="L159" i="3" s="1"/>
  <c r="AH160" i="3" l="1"/>
  <c r="U159" i="3"/>
  <c r="E160" i="3" s="1"/>
  <c r="H160" i="3" s="1"/>
  <c r="AG160" i="3"/>
  <c r="Y158" i="3"/>
  <c r="D160" i="3" l="1"/>
  <c r="G160" i="3" s="1"/>
  <c r="K160" i="3"/>
  <c r="F160" i="3" l="1"/>
  <c r="I160" i="3"/>
  <c r="J160" i="3"/>
  <c r="M160" i="3"/>
  <c r="N160" i="3" s="1"/>
  <c r="V160" i="3"/>
  <c r="AE160" i="3"/>
  <c r="W160" i="3" l="1"/>
  <c r="L160" i="3"/>
  <c r="AG161" i="3" l="1"/>
  <c r="AH161" i="3"/>
  <c r="U160" i="3"/>
  <c r="E161" i="3" s="1"/>
  <c r="H161" i="3" s="1"/>
  <c r="Y159" i="3"/>
  <c r="D161" i="3" l="1"/>
  <c r="G161" i="3" s="1"/>
  <c r="K161" i="3"/>
  <c r="F161" i="3" l="1"/>
  <c r="I161" i="3"/>
  <c r="J161" i="3"/>
  <c r="M161" i="3"/>
  <c r="N161" i="3" s="1"/>
  <c r="V161" i="3"/>
  <c r="AE161" i="3"/>
  <c r="W161" i="3" l="1"/>
  <c r="L161" i="3"/>
  <c r="U161" i="3" l="1"/>
  <c r="D162" i="3" s="1"/>
  <c r="AG162" i="3"/>
  <c r="AH162" i="3"/>
  <c r="Y160" i="3"/>
  <c r="G162" i="3" l="1"/>
  <c r="E162" i="3"/>
  <c r="H162" i="3" s="1"/>
  <c r="F162" i="3" l="1"/>
  <c r="I162" i="3"/>
  <c r="J162" i="3"/>
  <c r="M162" i="3"/>
  <c r="N162" i="3" s="1"/>
  <c r="K162" i="3"/>
  <c r="V162" i="3" l="1"/>
  <c r="W162" i="3" s="1"/>
  <c r="AE162" i="3"/>
  <c r="L162" i="3"/>
  <c r="U162" i="3" l="1"/>
  <c r="D163" i="3" s="1"/>
  <c r="AH163" i="3"/>
  <c r="AG163" i="3"/>
  <c r="Y161" i="3"/>
  <c r="E163" i="3" l="1"/>
  <c r="H163" i="3" s="1"/>
  <c r="K163" i="3" s="1"/>
  <c r="G163" i="3"/>
  <c r="F163" i="3" l="1"/>
  <c r="V163" i="3"/>
  <c r="AE163" i="3"/>
  <c r="I163" i="3"/>
  <c r="J163" i="3"/>
  <c r="M163" i="3"/>
  <c r="N163" i="3" s="1"/>
  <c r="W163" i="3" l="1"/>
  <c r="L163" i="3"/>
  <c r="AH164" i="3" l="1"/>
  <c r="U163" i="3"/>
  <c r="D164" i="3" s="1"/>
  <c r="AG164" i="3"/>
  <c r="Y162" i="3"/>
  <c r="E164" i="3" l="1"/>
  <c r="H164" i="3" s="1"/>
  <c r="K164" i="3" s="1"/>
  <c r="G164" i="3"/>
  <c r="F164" i="3" l="1"/>
  <c r="I164" i="3"/>
  <c r="J164" i="3"/>
  <c r="M164" i="3"/>
  <c r="N164" i="3" s="1"/>
  <c r="V164" i="3"/>
  <c r="AE164" i="3"/>
  <c r="W164" i="3" l="1"/>
  <c r="L164" i="3"/>
  <c r="U164" i="3" l="1"/>
  <c r="D165" i="3" s="1"/>
  <c r="AG165" i="3"/>
  <c r="AH165" i="3"/>
  <c r="Y163" i="3"/>
  <c r="E165" i="3" l="1"/>
  <c r="H165" i="3" s="1"/>
  <c r="K165" i="3" s="1"/>
  <c r="G165" i="3"/>
  <c r="F165" i="3" l="1"/>
  <c r="V165" i="3"/>
  <c r="AE165" i="3"/>
  <c r="I165" i="3"/>
  <c r="J165" i="3"/>
  <c r="M165" i="3"/>
  <c r="N165" i="3" s="1"/>
  <c r="L165" i="3" l="1"/>
  <c r="W165" i="3"/>
  <c r="AH166" i="3" l="1"/>
  <c r="U165" i="3"/>
  <c r="E166" i="3" s="1"/>
  <c r="H166" i="3" s="1"/>
  <c r="AG166" i="3"/>
  <c r="Y164" i="3"/>
  <c r="D166" i="3" l="1"/>
  <c r="G166" i="3" s="1"/>
  <c r="K166" i="3"/>
  <c r="F166" i="3" l="1"/>
  <c r="I166" i="3"/>
  <c r="J166" i="3"/>
  <c r="M166" i="3"/>
  <c r="N166" i="3" s="1"/>
  <c r="V166" i="3"/>
  <c r="AE166" i="3"/>
  <c r="W166" i="3" l="1"/>
  <c r="L166" i="3"/>
  <c r="AH167" i="3" l="1"/>
  <c r="AG167" i="3"/>
  <c r="U166" i="3"/>
  <c r="E167" i="3" s="1"/>
  <c r="H167" i="3" s="1"/>
  <c r="Y165" i="3"/>
  <c r="K167" i="3" l="1"/>
  <c r="D167" i="3"/>
  <c r="V167" i="3" l="1"/>
  <c r="AE167" i="3"/>
  <c r="F167" i="3"/>
  <c r="G167" i="3"/>
  <c r="I167" i="3" l="1"/>
  <c r="W167" i="3" s="1"/>
  <c r="J167" i="3"/>
  <c r="M167" i="3"/>
  <c r="N167" i="3" s="1"/>
  <c r="L167" i="3" l="1"/>
  <c r="AH168" i="3" l="1"/>
  <c r="U167" i="3"/>
  <c r="E168" i="3" s="1"/>
  <c r="H168" i="3" s="1"/>
  <c r="AG168" i="3"/>
  <c r="Y166" i="3"/>
  <c r="D168" i="3" l="1"/>
  <c r="F168" i="3" s="1"/>
  <c r="K168" i="3"/>
  <c r="G168" i="3" l="1"/>
  <c r="I168" i="3" s="1"/>
  <c r="V168" i="3"/>
  <c r="AE168" i="3"/>
  <c r="M168" i="3" l="1"/>
  <c r="N168" i="3" s="1"/>
  <c r="J168" i="3"/>
  <c r="L168" i="3" s="1"/>
  <c r="W168" i="3"/>
  <c r="U168" i="3" l="1"/>
  <c r="E169" i="3" s="1"/>
  <c r="H169" i="3" s="1"/>
  <c r="AH169" i="3"/>
  <c r="AG169" i="3"/>
  <c r="Y167" i="3"/>
  <c r="D169" i="3" l="1"/>
  <c r="F169" i="3" s="1"/>
  <c r="K169" i="3"/>
  <c r="G169" i="3" l="1"/>
  <c r="I169" i="3" s="1"/>
  <c r="V169" i="3"/>
  <c r="AE169" i="3"/>
  <c r="M169" i="3" l="1"/>
  <c r="N169" i="3" s="1"/>
  <c r="J169" i="3"/>
  <c r="L169" i="3" s="1"/>
  <c r="W169" i="3"/>
  <c r="AH170" i="3" l="1"/>
  <c r="U169" i="3"/>
  <c r="E170" i="3" s="1"/>
  <c r="H170" i="3" s="1"/>
  <c r="AG170" i="3"/>
  <c r="Y168" i="3"/>
  <c r="D170" i="3" l="1"/>
  <c r="G170" i="3" s="1"/>
  <c r="K170" i="3"/>
  <c r="F170" i="3" l="1"/>
  <c r="I170" i="3"/>
  <c r="J170" i="3"/>
  <c r="M170" i="3"/>
  <c r="N170" i="3" s="1"/>
  <c r="V170" i="3"/>
  <c r="AE170" i="3"/>
  <c r="W170" i="3" l="1"/>
  <c r="L170" i="3"/>
  <c r="AG171" i="3" l="1"/>
  <c r="U170" i="3"/>
  <c r="E171" i="3" s="1"/>
  <c r="H171" i="3" s="1"/>
  <c r="AH171" i="3"/>
  <c r="Y169" i="3"/>
  <c r="K171" i="3" l="1"/>
  <c r="D171" i="3"/>
  <c r="F171" i="3" l="1"/>
  <c r="G171" i="3"/>
  <c r="V171" i="3"/>
  <c r="AE171" i="3"/>
  <c r="I171" i="3" l="1"/>
  <c r="W171" i="3" s="1"/>
  <c r="J171" i="3"/>
  <c r="M171" i="3"/>
  <c r="N171" i="3" s="1"/>
  <c r="L171" i="3" l="1"/>
  <c r="U171" i="3" l="1"/>
  <c r="E172" i="3" s="1"/>
  <c r="H172" i="3" s="1"/>
  <c r="AH172" i="3"/>
  <c r="AG172" i="3"/>
  <c r="Y170" i="3"/>
  <c r="K172" i="3" l="1"/>
  <c r="D172" i="3"/>
  <c r="V172" i="3" l="1"/>
  <c r="AE172" i="3"/>
  <c r="F172" i="3"/>
  <c r="G172" i="3"/>
  <c r="I172" i="3" l="1"/>
  <c r="W172" i="3" s="1"/>
  <c r="J172" i="3"/>
  <c r="M172" i="3"/>
  <c r="N172" i="3" s="1"/>
  <c r="L172" i="3" l="1"/>
  <c r="U172" i="3" l="1"/>
  <c r="E173" i="3" s="1"/>
  <c r="H173" i="3" s="1"/>
  <c r="AH173" i="3"/>
  <c r="AG173" i="3"/>
  <c r="Y171" i="3"/>
  <c r="D173" i="3" l="1"/>
  <c r="G173" i="3" s="1"/>
  <c r="K173" i="3"/>
  <c r="F173" i="3" l="1"/>
  <c r="I173" i="3"/>
  <c r="J173" i="3"/>
  <c r="M173" i="3"/>
  <c r="N173" i="3" s="1"/>
  <c r="V173" i="3"/>
  <c r="AE173" i="3"/>
  <c r="L173" i="3" l="1"/>
  <c r="W173" i="3"/>
  <c r="U173" i="3" l="1"/>
  <c r="E174" i="3" s="1"/>
  <c r="H174" i="3" s="1"/>
  <c r="AG174" i="3"/>
  <c r="AH174" i="3"/>
  <c r="Y172" i="3"/>
  <c r="D174" i="3" l="1"/>
  <c r="G174" i="3" s="1"/>
  <c r="K174" i="3"/>
  <c r="F174" i="3" l="1"/>
  <c r="V174" i="3"/>
  <c r="AE174" i="3"/>
  <c r="I174" i="3"/>
  <c r="J174" i="3"/>
  <c r="M174" i="3"/>
  <c r="N174" i="3" s="1"/>
  <c r="W174" i="3" l="1"/>
  <c r="L174" i="3"/>
  <c r="U174" i="3" l="1"/>
  <c r="D175" i="3" s="1"/>
  <c r="AG175" i="3"/>
  <c r="AH175" i="3"/>
  <c r="Y173" i="3"/>
  <c r="E175" i="3" l="1"/>
  <c r="H175" i="3" s="1"/>
  <c r="K175" i="3" s="1"/>
  <c r="G175" i="3"/>
  <c r="F175" i="3" l="1"/>
  <c r="I175" i="3"/>
  <c r="J175" i="3"/>
  <c r="M175" i="3"/>
  <c r="N175" i="3" s="1"/>
  <c r="V175" i="3"/>
  <c r="AE175" i="3"/>
  <c r="W175" i="3" l="1"/>
  <c r="L175" i="3"/>
  <c r="U175" i="3" l="1"/>
  <c r="E176" i="3" s="1"/>
  <c r="H176" i="3" s="1"/>
  <c r="AG176" i="3"/>
  <c r="AH176" i="3"/>
  <c r="Y174" i="3"/>
  <c r="D176" i="3" l="1"/>
  <c r="G176" i="3" s="1"/>
  <c r="K176" i="3"/>
  <c r="F176" i="3" l="1"/>
  <c r="I176" i="3"/>
  <c r="J176" i="3"/>
  <c r="M176" i="3"/>
  <c r="N176" i="3" s="1"/>
  <c r="V176" i="3"/>
  <c r="AE176" i="3"/>
  <c r="W176" i="3" l="1"/>
  <c r="L176" i="3"/>
  <c r="AH177" i="3" l="1"/>
  <c r="U176" i="3"/>
  <c r="D177" i="3" s="1"/>
  <c r="AG177" i="3"/>
  <c r="Y175" i="3"/>
  <c r="G177" i="3" l="1"/>
  <c r="E177" i="3"/>
  <c r="H177" i="3" s="1"/>
  <c r="F177" i="3" l="1"/>
  <c r="I177" i="3"/>
  <c r="J177" i="3"/>
  <c r="M177" i="3"/>
  <c r="N177" i="3" s="1"/>
  <c r="K177" i="3"/>
  <c r="V177" i="3" l="1"/>
  <c r="W177" i="3" s="1"/>
  <c r="AE177" i="3"/>
  <c r="L177" i="3"/>
  <c r="AH178" i="3" l="1"/>
  <c r="U177" i="3"/>
  <c r="E178" i="3" s="1"/>
  <c r="H178" i="3" s="1"/>
  <c r="AG178" i="3"/>
  <c r="Y176" i="3"/>
  <c r="D178" i="3" l="1"/>
  <c r="G178" i="3" s="1"/>
  <c r="K178" i="3"/>
  <c r="F178" i="3" l="1"/>
  <c r="I178" i="3"/>
  <c r="J178" i="3"/>
  <c r="M178" i="3"/>
  <c r="N178" i="3" s="1"/>
  <c r="V178" i="3"/>
  <c r="AE178" i="3"/>
  <c r="W178" i="3" l="1"/>
  <c r="L178" i="3"/>
  <c r="U178" i="3" l="1"/>
  <c r="E179" i="3" s="1"/>
  <c r="H179" i="3" s="1"/>
  <c r="AG179" i="3"/>
  <c r="AH179" i="3"/>
  <c r="Y177" i="3"/>
  <c r="D179" i="3" l="1"/>
  <c r="G179" i="3" s="1"/>
  <c r="K179" i="3"/>
  <c r="F179" i="3" l="1"/>
  <c r="V179" i="3"/>
  <c r="AE179" i="3"/>
  <c r="I179" i="3"/>
  <c r="J179" i="3"/>
  <c r="M179" i="3"/>
  <c r="N179" i="3" s="1"/>
  <c r="W179" i="3" l="1"/>
  <c r="L179" i="3"/>
  <c r="AG180" i="3" l="1"/>
  <c r="U179" i="3"/>
  <c r="D180" i="3" s="1"/>
  <c r="AH180" i="3"/>
  <c r="Y178" i="3"/>
  <c r="E180" i="3" l="1"/>
  <c r="H180" i="3" s="1"/>
  <c r="K180" i="3" s="1"/>
  <c r="G180" i="3"/>
  <c r="F180" i="3" l="1"/>
  <c r="I180" i="3"/>
  <c r="J180" i="3"/>
  <c r="M180" i="3"/>
  <c r="N180" i="3" s="1"/>
  <c r="V180" i="3"/>
  <c r="AE180" i="3"/>
  <c r="L180" i="3" l="1"/>
  <c r="W180" i="3"/>
  <c r="U180" i="3" l="1"/>
  <c r="E181" i="3" s="1"/>
  <c r="H181" i="3" s="1"/>
  <c r="AH181" i="3"/>
  <c r="AG181" i="3"/>
  <c r="Y179" i="3"/>
  <c r="D181" i="3" l="1"/>
  <c r="G181" i="3" s="1"/>
  <c r="K181" i="3"/>
  <c r="F181" i="3" l="1"/>
  <c r="I181" i="3"/>
  <c r="J181" i="3"/>
  <c r="M181" i="3"/>
  <c r="N181" i="3" s="1"/>
  <c r="V181" i="3"/>
  <c r="AE181" i="3"/>
  <c r="W181" i="3" l="1"/>
  <c r="L181" i="3"/>
  <c r="AH182" i="3" l="1"/>
  <c r="U181" i="3"/>
  <c r="E182" i="3" s="1"/>
  <c r="H182" i="3" s="1"/>
  <c r="AG182" i="3"/>
  <c r="Y180" i="3"/>
  <c r="K182" i="3" l="1"/>
  <c r="D182" i="3"/>
  <c r="V182" i="3" l="1"/>
  <c r="AE182" i="3"/>
  <c r="F182" i="3"/>
  <c r="G182" i="3"/>
  <c r="I182" i="3" l="1"/>
  <c r="W182" i="3" s="1"/>
  <c r="J182" i="3"/>
  <c r="M182" i="3"/>
  <c r="N182" i="3" s="1"/>
  <c r="L182" i="3" l="1"/>
  <c r="U182" i="3" l="1"/>
  <c r="E183" i="3" s="1"/>
  <c r="H183" i="3" s="1"/>
  <c r="AH183" i="3"/>
  <c r="AG183" i="3"/>
  <c r="Y181" i="3"/>
  <c r="D183" i="3" l="1"/>
  <c r="G183" i="3" s="1"/>
  <c r="K183" i="3"/>
  <c r="F183" i="3" l="1"/>
  <c r="I183" i="3"/>
  <c r="J183" i="3"/>
  <c r="M183" i="3"/>
  <c r="N183" i="3" s="1"/>
  <c r="V183" i="3"/>
  <c r="AE183" i="3"/>
  <c r="W183" i="3" l="1"/>
  <c r="L183" i="3"/>
  <c r="U183" i="3" l="1"/>
  <c r="D184" i="3" s="1"/>
  <c r="AG184" i="3"/>
  <c r="AH184" i="3"/>
  <c r="Y182" i="3"/>
  <c r="G184" i="3" l="1"/>
  <c r="E184" i="3"/>
  <c r="H184" i="3" s="1"/>
  <c r="K184" i="3" l="1"/>
  <c r="I184" i="3"/>
  <c r="J184" i="3"/>
  <c r="M184" i="3"/>
  <c r="N184" i="3" s="1"/>
  <c r="F184" i="3"/>
  <c r="V184" i="3" l="1"/>
  <c r="W184" i="3" s="1"/>
  <c r="AE184" i="3"/>
  <c r="L184" i="3"/>
  <c r="AH185" i="3" l="1"/>
  <c r="AG185" i="3"/>
  <c r="U184" i="3"/>
  <c r="D185" i="3" s="1"/>
  <c r="Y183" i="3"/>
  <c r="E185" i="3" l="1"/>
  <c r="H185" i="3" s="1"/>
  <c r="K185" i="3" s="1"/>
  <c r="G185" i="3"/>
  <c r="F185" i="3" l="1"/>
  <c r="I185" i="3"/>
  <c r="J185" i="3"/>
  <c r="M185" i="3"/>
  <c r="N185" i="3" s="1"/>
  <c r="V185" i="3"/>
  <c r="AE185" i="3"/>
  <c r="W185" i="3" l="1"/>
  <c r="L185" i="3"/>
  <c r="U185" i="3" l="1"/>
  <c r="E186" i="3" s="1"/>
  <c r="H186" i="3" s="1"/>
  <c r="AH186" i="3"/>
  <c r="AG186" i="3"/>
  <c r="Y184" i="3"/>
  <c r="D186" i="3" l="1"/>
  <c r="G186" i="3" s="1"/>
  <c r="K186" i="3"/>
  <c r="F186" i="3" l="1"/>
  <c r="V186" i="3"/>
  <c r="AE186" i="3"/>
  <c r="I186" i="3"/>
  <c r="J186" i="3"/>
  <c r="M186" i="3"/>
  <c r="N186" i="3" s="1"/>
  <c r="L186" i="3" l="1"/>
  <c r="W186" i="3"/>
  <c r="AG187" i="3" l="1"/>
  <c r="AH187" i="3"/>
  <c r="U186" i="3"/>
  <c r="D187" i="3" s="1"/>
  <c r="Y185" i="3"/>
  <c r="G187" i="3" l="1"/>
  <c r="E187" i="3"/>
  <c r="H187" i="3" s="1"/>
  <c r="I187" i="3" l="1"/>
  <c r="J187" i="3"/>
  <c r="M187" i="3"/>
  <c r="N187" i="3" s="1"/>
  <c r="F187" i="3"/>
  <c r="K187" i="3"/>
  <c r="L187" i="3" l="1"/>
  <c r="V187" i="3"/>
  <c r="W187" i="3" s="1"/>
  <c r="AE187" i="3"/>
  <c r="AG188" i="3" l="1"/>
  <c r="U187" i="3"/>
  <c r="E188" i="3" s="1"/>
  <c r="H188" i="3" s="1"/>
  <c r="AH188" i="3"/>
  <c r="Y186" i="3"/>
  <c r="D188" i="3" l="1"/>
  <c r="G188" i="3" s="1"/>
  <c r="K188" i="3"/>
  <c r="F188" i="3" l="1"/>
  <c r="I188" i="3"/>
  <c r="J188" i="3"/>
  <c r="M188" i="3"/>
  <c r="N188" i="3" s="1"/>
  <c r="V188" i="3"/>
  <c r="AE188" i="3"/>
  <c r="W188" i="3" l="1"/>
  <c r="L188" i="3"/>
  <c r="U188" i="3" l="1"/>
  <c r="E189" i="3" s="1"/>
  <c r="H189" i="3" s="1"/>
  <c r="AH189" i="3"/>
  <c r="AG189" i="3"/>
  <c r="Y187" i="3"/>
  <c r="D189" i="3" l="1"/>
  <c r="G189" i="3" s="1"/>
  <c r="K189" i="3"/>
  <c r="F189" i="3" l="1"/>
  <c r="I189" i="3"/>
  <c r="J189" i="3"/>
  <c r="M189" i="3"/>
  <c r="N189" i="3" s="1"/>
  <c r="V189" i="3"/>
  <c r="AE189" i="3"/>
  <c r="W189" i="3" l="1"/>
  <c r="L189" i="3"/>
  <c r="AH190" i="3" l="1"/>
  <c r="U189" i="3"/>
  <c r="D190" i="3" s="1"/>
  <c r="AG190" i="3"/>
  <c r="Y188" i="3"/>
  <c r="G190" i="3" l="1"/>
  <c r="E190" i="3"/>
  <c r="H190" i="3" s="1"/>
  <c r="K190" i="3" l="1"/>
  <c r="I190" i="3"/>
  <c r="J190" i="3"/>
  <c r="M190" i="3"/>
  <c r="N190" i="3" s="1"/>
  <c r="F190" i="3"/>
  <c r="L190" i="3" l="1"/>
  <c r="V190" i="3"/>
  <c r="W190" i="3" s="1"/>
  <c r="AE190" i="3"/>
  <c r="AG191" i="3" l="1"/>
  <c r="U190" i="3"/>
  <c r="E191" i="3" s="1"/>
  <c r="H191" i="3" s="1"/>
  <c r="AH191" i="3"/>
  <c r="Y189" i="3"/>
  <c r="K191" i="3" l="1"/>
  <c r="D191" i="3"/>
  <c r="V191" i="3" l="1"/>
  <c r="AE191" i="3"/>
  <c r="F191" i="3"/>
  <c r="G191" i="3"/>
  <c r="I191" i="3" l="1"/>
  <c r="W191" i="3" s="1"/>
  <c r="J191" i="3"/>
  <c r="M191" i="3"/>
  <c r="N191" i="3" s="1"/>
  <c r="L191" i="3" l="1"/>
  <c r="AG192" i="3" l="1"/>
  <c r="U191" i="3"/>
  <c r="E192" i="3" s="1"/>
  <c r="H192" i="3" s="1"/>
  <c r="AH192" i="3"/>
  <c r="Y190" i="3"/>
  <c r="D192" i="3" l="1"/>
  <c r="G192" i="3" s="1"/>
  <c r="K192" i="3"/>
  <c r="F192" i="3" l="1"/>
  <c r="I192" i="3"/>
  <c r="J192" i="3"/>
  <c r="M192" i="3"/>
  <c r="N192" i="3" s="1"/>
  <c r="V192" i="3"/>
  <c r="AE192" i="3"/>
  <c r="W192" i="3" l="1"/>
  <c r="L192" i="3"/>
  <c r="U192" i="3" l="1"/>
  <c r="D193" i="3" s="1"/>
  <c r="AG193" i="3"/>
  <c r="AH193" i="3"/>
  <c r="Y191" i="3"/>
  <c r="G193" i="3" l="1"/>
  <c r="E193" i="3"/>
  <c r="H193" i="3" s="1"/>
  <c r="K193" i="3" l="1"/>
  <c r="I193" i="3"/>
  <c r="J193" i="3"/>
  <c r="M193" i="3"/>
  <c r="N193" i="3" s="1"/>
  <c r="F193" i="3"/>
  <c r="L193" i="3" l="1"/>
  <c r="V193" i="3"/>
  <c r="W193" i="3" s="1"/>
  <c r="AE193" i="3"/>
  <c r="AH194" i="3" l="1"/>
  <c r="AG194" i="3"/>
  <c r="U193" i="3"/>
  <c r="D194" i="3" s="1"/>
  <c r="Y192" i="3"/>
  <c r="E194" i="3" l="1"/>
  <c r="H194" i="3" s="1"/>
  <c r="K194" i="3" s="1"/>
  <c r="G194" i="3"/>
  <c r="F194" i="3" l="1"/>
  <c r="V194" i="3"/>
  <c r="AE194" i="3"/>
  <c r="I194" i="3"/>
  <c r="J194" i="3"/>
  <c r="M194" i="3"/>
  <c r="N194" i="3" s="1"/>
  <c r="W194" i="3" l="1"/>
  <c r="L194" i="3"/>
  <c r="U194" i="3" l="1"/>
  <c r="D195" i="3" s="1"/>
  <c r="AH195" i="3"/>
  <c r="AG195" i="3"/>
  <c r="Y193" i="3"/>
  <c r="E195" i="3" l="1"/>
  <c r="H195" i="3" s="1"/>
  <c r="K195" i="3" s="1"/>
  <c r="G195" i="3"/>
  <c r="F195" i="3" l="1"/>
  <c r="V195" i="3"/>
  <c r="AE195" i="3"/>
  <c r="I195" i="3"/>
  <c r="J195" i="3"/>
  <c r="M195" i="3"/>
  <c r="N195" i="3" s="1"/>
  <c r="W195" i="3" l="1"/>
  <c r="L195" i="3"/>
  <c r="AH196" i="3" l="1"/>
  <c r="U195" i="3"/>
  <c r="D196" i="3" s="1"/>
  <c r="AG196" i="3"/>
  <c r="Y194" i="3"/>
  <c r="E196" i="3" l="1"/>
  <c r="H196" i="3" s="1"/>
  <c r="K196" i="3" s="1"/>
  <c r="G196" i="3"/>
  <c r="F196" i="3" l="1"/>
  <c r="I196" i="3"/>
  <c r="J196" i="3"/>
  <c r="M196" i="3"/>
  <c r="N196" i="3" s="1"/>
  <c r="V196" i="3"/>
  <c r="AE196" i="3"/>
  <c r="L196" i="3" l="1"/>
  <c r="W196" i="3"/>
  <c r="U196" i="3" l="1"/>
  <c r="E197" i="3" s="1"/>
  <c r="H197" i="3" s="1"/>
  <c r="AG197" i="3"/>
  <c r="AH197" i="3"/>
  <c r="Y195" i="3"/>
  <c r="D197" i="3" l="1"/>
  <c r="G197" i="3" s="1"/>
  <c r="K197" i="3"/>
  <c r="F197" i="3" l="1"/>
  <c r="I197" i="3"/>
  <c r="J197" i="3"/>
  <c r="M197" i="3"/>
  <c r="N197" i="3" s="1"/>
  <c r="V197" i="3"/>
  <c r="AE197" i="3"/>
  <c r="W197" i="3" l="1"/>
  <c r="L197" i="3"/>
  <c r="AG198" i="3" l="1"/>
  <c r="AH198" i="3"/>
  <c r="U197" i="3"/>
  <c r="E198" i="3" s="1"/>
  <c r="H198" i="3" s="1"/>
  <c r="Y196" i="3"/>
  <c r="K198" i="3" l="1"/>
  <c r="D198" i="3"/>
  <c r="V198" i="3" l="1"/>
  <c r="AE198" i="3"/>
  <c r="F198" i="3"/>
  <c r="G198" i="3"/>
  <c r="I198" i="3" l="1"/>
  <c r="W198" i="3" s="1"/>
  <c r="J198" i="3"/>
  <c r="M198" i="3"/>
  <c r="N198" i="3" s="1"/>
  <c r="L198" i="3" l="1"/>
  <c r="AG199" i="3" l="1"/>
  <c r="U198" i="3"/>
  <c r="E199" i="3" s="1"/>
  <c r="H199" i="3" s="1"/>
  <c r="AH199" i="3"/>
  <c r="Y197" i="3"/>
  <c r="K199" i="3" l="1"/>
  <c r="D199" i="3"/>
  <c r="V199" i="3" l="1"/>
  <c r="AE199" i="3"/>
  <c r="F199" i="3"/>
  <c r="G199" i="3"/>
  <c r="I199" i="3" l="1"/>
  <c r="W199" i="3" s="1"/>
  <c r="J199" i="3"/>
  <c r="M199" i="3"/>
  <c r="N199" i="3" s="1"/>
  <c r="L199" i="3" l="1"/>
  <c r="AH200" i="3" l="1"/>
  <c r="AG200" i="3"/>
  <c r="U199" i="3"/>
  <c r="E200" i="3" s="1"/>
  <c r="H200" i="3" s="1"/>
  <c r="Y198" i="3"/>
  <c r="K200" i="3" l="1"/>
  <c r="D200" i="3"/>
  <c r="V200" i="3" l="1"/>
  <c r="AE200" i="3"/>
  <c r="F200" i="3"/>
  <c r="G200" i="3"/>
  <c r="I200" i="3" l="1"/>
  <c r="W200" i="3" s="1"/>
  <c r="J200" i="3"/>
  <c r="M200" i="3"/>
  <c r="N200" i="3" s="1"/>
  <c r="L200" i="3" l="1"/>
  <c r="AG201" i="3" l="1"/>
  <c r="U200" i="3"/>
  <c r="E201" i="3" s="1"/>
  <c r="H201" i="3" s="1"/>
  <c r="AH201" i="3"/>
  <c r="Y199" i="3"/>
  <c r="D201" i="3" l="1"/>
  <c r="G201" i="3" s="1"/>
  <c r="K201" i="3"/>
  <c r="F201" i="3" l="1"/>
  <c r="I201" i="3"/>
  <c r="J201" i="3"/>
  <c r="M201" i="3"/>
  <c r="N201" i="3" s="1"/>
  <c r="V201" i="3"/>
  <c r="AE201" i="3"/>
  <c r="W201" i="3" l="1"/>
  <c r="L201" i="3"/>
  <c r="U201" i="3" l="1"/>
  <c r="E202" i="3" s="1"/>
  <c r="H202" i="3" s="1"/>
  <c r="AG202" i="3"/>
  <c r="AH202" i="3"/>
  <c r="Y200" i="3"/>
  <c r="D202" i="3" l="1"/>
  <c r="G202" i="3" s="1"/>
  <c r="K202" i="3"/>
  <c r="F202" i="3" l="1"/>
  <c r="V202" i="3"/>
  <c r="AE202" i="3"/>
  <c r="I202" i="3"/>
  <c r="J202" i="3"/>
  <c r="M202" i="3"/>
  <c r="N202" i="3" s="1"/>
  <c r="W202" i="3" l="1"/>
  <c r="L202" i="3"/>
  <c r="U202" i="3" l="1"/>
  <c r="E203" i="3" s="1"/>
  <c r="H203" i="3" s="1"/>
  <c r="AH203" i="3"/>
  <c r="AG203" i="3"/>
  <c r="Y201" i="3"/>
  <c r="D203" i="3" l="1"/>
  <c r="G203" i="3" s="1"/>
  <c r="K203" i="3"/>
  <c r="F203" i="3" l="1"/>
  <c r="I203" i="3"/>
  <c r="J203" i="3"/>
  <c r="M203" i="3"/>
  <c r="N203" i="3" s="1"/>
  <c r="V203" i="3"/>
  <c r="AE203" i="3"/>
  <c r="W203" i="3" l="1"/>
  <c r="L203" i="3"/>
  <c r="U203" i="3" l="1"/>
  <c r="E204" i="3" s="1"/>
  <c r="H204" i="3" s="1"/>
  <c r="AH204" i="3"/>
  <c r="AG204" i="3"/>
  <c r="Y202" i="3"/>
  <c r="D204" i="3" l="1"/>
  <c r="G204" i="3" s="1"/>
  <c r="K204" i="3"/>
  <c r="F204" i="3" l="1"/>
  <c r="I204" i="3"/>
  <c r="J204" i="3"/>
  <c r="M204" i="3"/>
  <c r="N204" i="3" s="1"/>
  <c r="V204" i="3"/>
  <c r="A205" i="3"/>
  <c r="B205" i="3" s="1"/>
  <c r="AE204" i="3"/>
  <c r="W204" i="3" l="1"/>
  <c r="L204" i="3"/>
  <c r="AD204" i="3"/>
  <c r="AC205" i="3"/>
  <c r="P205" i="3"/>
  <c r="Q205" i="3" s="1"/>
  <c r="R205" i="3" s="1"/>
  <c r="S205" i="3" s="1"/>
  <c r="Z205" i="3"/>
  <c r="AA205" i="3"/>
  <c r="AD205" i="3"/>
  <c r="U204" i="3" l="1"/>
  <c r="Y203" i="3"/>
  <c r="T205" i="3"/>
  <c r="AH205" i="3" s="1"/>
  <c r="E205" i="3" l="1"/>
  <c r="H205" i="3" s="1"/>
  <c r="D205" i="3"/>
  <c r="AG205" i="3"/>
  <c r="K205" i="3" l="1"/>
  <c r="F205" i="3"/>
  <c r="G205" i="3"/>
  <c r="V205" i="3" l="1"/>
  <c r="A206" i="3"/>
  <c r="B206" i="3" s="1"/>
  <c r="AE205" i="3"/>
  <c r="I205" i="3"/>
  <c r="J205" i="3"/>
  <c r="M205" i="3"/>
  <c r="N205" i="3" s="1"/>
  <c r="W205" i="3" l="1"/>
  <c r="L205" i="3"/>
  <c r="AC206" i="3"/>
  <c r="P206" i="3"/>
  <c r="Q206" i="3" s="1"/>
  <c r="R206" i="3" s="1"/>
  <c r="S206" i="3" s="1"/>
  <c r="Z206" i="3"/>
  <c r="AA206" i="3"/>
  <c r="AD206" i="3"/>
  <c r="T206" i="3" l="1"/>
  <c r="AH206" i="3" s="1"/>
  <c r="U205" i="3"/>
  <c r="Y204" i="3"/>
  <c r="AG206" i="3" l="1"/>
  <c r="D206" i="3"/>
  <c r="E206" i="3"/>
  <c r="H206" i="3" s="1"/>
  <c r="F206" i="3" l="1"/>
  <c r="G206" i="3"/>
  <c r="K206" i="3"/>
  <c r="I206" i="3" l="1"/>
  <c r="J206" i="3"/>
  <c r="M206" i="3"/>
  <c r="N206" i="3" s="1"/>
  <c r="V206" i="3"/>
  <c r="A207" i="3"/>
  <c r="B207" i="3" s="1"/>
  <c r="AE206" i="3"/>
  <c r="W206" i="3" l="1"/>
  <c r="L206" i="3"/>
  <c r="AD207" i="3"/>
  <c r="P207" i="3"/>
  <c r="Q207" i="3" s="1"/>
  <c r="R207" i="3" s="1"/>
  <c r="S207" i="3" s="1"/>
  <c r="AC207" i="3"/>
  <c r="Z207" i="3"/>
  <c r="AA207" i="3"/>
  <c r="T207" i="3" l="1"/>
  <c r="U206" i="3"/>
  <c r="Y205" i="3"/>
  <c r="D207" i="3" l="1"/>
  <c r="G207" i="3" s="1"/>
  <c r="AH207" i="3"/>
  <c r="E207" i="3"/>
  <c r="H207" i="3" s="1"/>
  <c r="AG207" i="3"/>
  <c r="F207" i="3" l="1"/>
  <c r="I207" i="3"/>
  <c r="J207" i="3"/>
  <c r="M207" i="3"/>
  <c r="N207" i="3" s="1"/>
  <c r="K207" i="3"/>
  <c r="V207" i="3" l="1"/>
  <c r="W207" i="3" s="1"/>
  <c r="AE207" i="3"/>
  <c r="A208" i="3"/>
  <c r="B208" i="3" s="1"/>
  <c r="L207" i="3"/>
  <c r="Z208" i="3" l="1"/>
  <c r="AC208" i="3"/>
  <c r="AA208" i="3"/>
  <c r="P208" i="3"/>
  <c r="Q208" i="3" s="1"/>
  <c r="R208" i="3" s="1"/>
  <c r="S208" i="3" s="1"/>
  <c r="AD208" i="3"/>
  <c r="U207" i="3"/>
  <c r="Y206" i="3"/>
  <c r="T208" i="3" l="1"/>
  <c r="AG208" i="3" s="1"/>
  <c r="AH208" i="3" l="1"/>
  <c r="D208" i="3"/>
  <c r="G208" i="3" s="1"/>
  <c r="E208" i="3"/>
  <c r="H208" i="3" s="1"/>
  <c r="K208" i="3" s="1"/>
  <c r="F208" i="3" l="1"/>
  <c r="I208" i="3"/>
  <c r="J208" i="3"/>
  <c r="M208" i="3"/>
  <c r="N208" i="3" s="1"/>
  <c r="V208" i="3"/>
  <c r="A209" i="3"/>
  <c r="B209" i="3" s="1"/>
  <c r="AE208" i="3"/>
  <c r="W208" i="3" l="1"/>
  <c r="L208" i="3"/>
  <c r="P209" i="3"/>
  <c r="Q209" i="3" s="1"/>
  <c r="R209" i="3" s="1"/>
  <c r="S209" i="3" s="1"/>
  <c r="AC209" i="3"/>
  <c r="AD209" i="3"/>
  <c r="AA209" i="3"/>
  <c r="Z209" i="3"/>
  <c r="U208" i="3" l="1"/>
  <c r="Y207" i="3"/>
  <c r="T209" i="3"/>
  <c r="AH209" i="3" s="1"/>
  <c r="AG209" i="3" l="1"/>
  <c r="D209" i="3"/>
  <c r="G209" i="3" s="1"/>
  <c r="E209" i="3"/>
  <c r="H209" i="3" s="1"/>
  <c r="F209" i="3" l="1"/>
  <c r="K209" i="3"/>
  <c r="I209" i="3"/>
  <c r="J209" i="3"/>
  <c r="M209" i="3"/>
  <c r="N209" i="3" s="1"/>
  <c r="L209" i="3" l="1"/>
  <c r="V209" i="3"/>
  <c r="W209" i="3" s="1"/>
  <c r="A210" i="3"/>
  <c r="B210" i="3" s="1"/>
  <c r="AE209" i="3"/>
  <c r="AC210" i="3" l="1"/>
  <c r="Z210" i="3"/>
  <c r="P210" i="3"/>
  <c r="Q210" i="3" s="1"/>
  <c r="R210" i="3" s="1"/>
  <c r="S210" i="3" s="1"/>
  <c r="AA210" i="3"/>
  <c r="AD210" i="3"/>
  <c r="U209" i="3"/>
  <c r="Y208" i="3"/>
  <c r="T210" i="3" l="1"/>
  <c r="AG210" i="3" s="1"/>
  <c r="AH210" i="3" l="1"/>
  <c r="D210" i="3"/>
  <c r="E210" i="3"/>
  <c r="H210" i="3" s="1"/>
  <c r="F210" i="3" l="1"/>
  <c r="G210" i="3"/>
  <c r="K210" i="3"/>
  <c r="V210" i="3" l="1"/>
  <c r="AE210" i="3"/>
  <c r="A211" i="3"/>
  <c r="B211" i="3" s="1"/>
  <c r="I210" i="3"/>
  <c r="J210" i="3"/>
  <c r="M210" i="3"/>
  <c r="N210" i="3" s="1"/>
  <c r="W210" i="3" l="1"/>
  <c r="AC211" i="3"/>
  <c r="Z211" i="3"/>
  <c r="P211" i="3"/>
  <c r="Q211" i="3" s="1"/>
  <c r="R211" i="3" s="1"/>
  <c r="S211" i="3" s="1"/>
  <c r="AA211" i="3"/>
  <c r="AD211" i="3"/>
  <c r="L210" i="3"/>
  <c r="T211" i="3" l="1"/>
  <c r="AG211" i="3" s="1"/>
  <c r="U210" i="3"/>
  <c r="Y209" i="3"/>
  <c r="E211" i="3" l="1"/>
  <c r="H211" i="3" s="1"/>
  <c r="D211" i="3"/>
  <c r="AH211" i="3"/>
  <c r="K211" i="3" l="1"/>
  <c r="F211" i="3"/>
  <c r="G211" i="3"/>
  <c r="I211" i="3" l="1"/>
  <c r="J211" i="3"/>
  <c r="M211" i="3"/>
  <c r="N211" i="3" s="1"/>
  <c r="V211" i="3"/>
  <c r="AE211" i="3"/>
  <c r="A212" i="3"/>
  <c r="B212" i="3" s="1"/>
  <c r="W211" i="3" l="1"/>
  <c r="AA212" i="3"/>
  <c r="Z212" i="3"/>
  <c r="P212" i="3"/>
  <c r="Q212" i="3" s="1"/>
  <c r="R212" i="3" s="1"/>
  <c r="S212" i="3" s="1"/>
  <c r="AC212" i="3"/>
  <c r="AD212" i="3"/>
  <c r="L211" i="3"/>
  <c r="U211" i="3" l="1"/>
  <c r="Y210" i="3"/>
  <c r="T212" i="3"/>
  <c r="E212" i="3" l="1"/>
  <c r="H212" i="3" s="1"/>
  <c r="K212" i="3" s="1"/>
  <c r="AH212" i="3"/>
  <c r="AG212" i="3"/>
  <c r="D212" i="3"/>
  <c r="F212" i="3" l="1"/>
  <c r="G212" i="3"/>
  <c r="V212" i="3"/>
  <c r="A213" i="3"/>
  <c r="B213" i="3" s="1"/>
  <c r="AE212" i="3"/>
  <c r="AD213" i="3" l="1"/>
  <c r="AC213" i="3"/>
  <c r="P213" i="3"/>
  <c r="Q213" i="3" s="1"/>
  <c r="R213" i="3" s="1"/>
  <c r="S213" i="3" s="1"/>
  <c r="AA213" i="3"/>
  <c r="Z213" i="3"/>
  <c r="I212" i="3"/>
  <c r="W212" i="3" s="1"/>
  <c r="J212" i="3"/>
  <c r="M212" i="3"/>
  <c r="N212" i="3" s="1"/>
  <c r="T213" i="3" l="1"/>
  <c r="L212" i="3"/>
  <c r="U212" i="3" l="1"/>
  <c r="E213" i="3" s="1"/>
  <c r="H213" i="3" s="1"/>
  <c r="AH213" i="3"/>
  <c r="AG213" i="3"/>
  <c r="Y211" i="3"/>
  <c r="D213" i="3" l="1"/>
  <c r="G213" i="3" s="1"/>
  <c r="K213" i="3"/>
  <c r="F213" i="3" l="1"/>
  <c r="I213" i="3"/>
  <c r="J213" i="3"/>
  <c r="M213" i="3"/>
  <c r="N213" i="3" s="1"/>
  <c r="V213" i="3"/>
  <c r="A214" i="3"/>
  <c r="B214" i="3" s="1"/>
  <c r="AE213" i="3"/>
  <c r="W213" i="3" l="1"/>
  <c r="L213" i="3"/>
  <c r="P214" i="3"/>
  <c r="Q214" i="3" s="1"/>
  <c r="R214" i="3" s="1"/>
  <c r="S214" i="3" s="1"/>
  <c r="AC214" i="3"/>
  <c r="AA214" i="3"/>
  <c r="Z214" i="3"/>
  <c r="U213" i="3" l="1"/>
  <c r="Y212" i="3"/>
  <c r="T214" i="3"/>
  <c r="D214" i="3" l="1"/>
  <c r="G214" i="3" s="1"/>
  <c r="E214" i="3"/>
  <c r="H214" i="3" s="1"/>
  <c r="AG214" i="3"/>
  <c r="AH214" i="3"/>
  <c r="F214" i="3" l="1"/>
  <c r="I214" i="3"/>
  <c r="J214" i="3"/>
  <c r="M214" i="3"/>
  <c r="N214" i="3" s="1"/>
  <c r="K214" i="3"/>
  <c r="AE214" i="3" s="1"/>
  <c r="V214" i="3" l="1"/>
  <c r="W214" i="3" s="1"/>
  <c r="A215" i="3"/>
  <c r="B215" i="3" s="1"/>
  <c r="L214" i="3"/>
  <c r="AD214" i="3"/>
  <c r="U214" i="3" l="1"/>
  <c r="Y213" i="3"/>
  <c r="AC215" i="3"/>
  <c r="AD215" i="3"/>
  <c r="Z215" i="3"/>
  <c r="P215" i="3"/>
  <c r="Q215" i="3" s="1"/>
  <c r="R215" i="3" s="1"/>
  <c r="S215" i="3" s="1"/>
  <c r="AA215" i="3"/>
  <c r="T215" i="3" l="1"/>
  <c r="AH215" i="3" s="1"/>
  <c r="D215" i="3" l="1"/>
  <c r="G215" i="3" s="1"/>
  <c r="E215" i="3"/>
  <c r="H215" i="3" s="1"/>
  <c r="K215" i="3" s="1"/>
  <c r="AE215" i="3" s="1"/>
  <c r="AG215" i="3"/>
  <c r="F215" i="3" l="1"/>
  <c r="V215" i="3"/>
  <c r="A216" i="3"/>
  <c r="B216" i="3" s="1"/>
  <c r="I215" i="3"/>
  <c r="J215" i="3"/>
  <c r="M215" i="3"/>
  <c r="N215" i="3" s="1"/>
  <c r="W215" i="3" l="1"/>
  <c r="L215" i="3"/>
  <c r="P216" i="3"/>
  <c r="Q216" i="3" s="1"/>
  <c r="R216" i="3" s="1"/>
  <c r="S216" i="3" s="1"/>
  <c r="Z216" i="3"/>
  <c r="AC216" i="3"/>
  <c r="AD216" i="3"/>
  <c r="AA216" i="3"/>
  <c r="U215" i="3" l="1"/>
  <c r="Y214" i="3"/>
  <c r="T216" i="3"/>
  <c r="AH216" i="3" s="1"/>
  <c r="D216" i="3" l="1"/>
  <c r="G216" i="3" s="1"/>
  <c r="AG216" i="3"/>
  <c r="E216" i="3"/>
  <c r="H216" i="3" s="1"/>
  <c r="K216" i="3" l="1"/>
  <c r="AE216" i="3" s="1"/>
  <c r="I216" i="3"/>
  <c r="J216" i="3"/>
  <c r="M216" i="3"/>
  <c r="N216" i="3" s="1"/>
  <c r="F216" i="3"/>
  <c r="V216" i="3" l="1"/>
  <c r="W216" i="3" s="1"/>
  <c r="A217" i="3"/>
  <c r="B217" i="3" s="1"/>
  <c r="L216" i="3"/>
  <c r="U216" i="3" l="1"/>
  <c r="Y215" i="3"/>
  <c r="P217" i="3"/>
  <c r="Q217" i="3" s="1"/>
  <c r="R217" i="3" s="1"/>
  <c r="S217" i="3" s="1"/>
  <c r="AC217" i="3"/>
  <c r="AA217" i="3"/>
  <c r="Z217" i="3"/>
  <c r="AD217" i="3"/>
  <c r="T217" i="3" l="1"/>
  <c r="D217" i="3" s="1"/>
  <c r="G217" i="3" l="1"/>
  <c r="AG217" i="3"/>
  <c r="AH217" i="3"/>
  <c r="E217" i="3"/>
  <c r="H217" i="3" s="1"/>
  <c r="I217" i="3" l="1"/>
  <c r="J217" i="3"/>
  <c r="M217" i="3"/>
  <c r="N217" i="3" s="1"/>
  <c r="K217" i="3"/>
  <c r="AE217" i="3" s="1"/>
  <c r="F217" i="3"/>
  <c r="V217" i="3" l="1"/>
  <c r="W217" i="3" s="1"/>
  <c r="A218" i="3"/>
  <c r="B218" i="3" s="1"/>
  <c r="L217" i="3"/>
  <c r="U217" i="3" l="1"/>
  <c r="Y216" i="3"/>
  <c r="AC218" i="3"/>
  <c r="AA218" i="3"/>
  <c r="Z218" i="3"/>
  <c r="P218" i="3"/>
  <c r="Q218" i="3" s="1"/>
  <c r="R218" i="3" s="1"/>
  <c r="S218" i="3" s="1"/>
  <c r="AD218" i="3"/>
  <c r="T218" i="3" l="1"/>
  <c r="AG218" i="3" s="1"/>
  <c r="AH218" i="3" l="1"/>
  <c r="E218" i="3"/>
  <c r="H218" i="3" s="1"/>
  <c r="K218" i="3" s="1"/>
  <c r="AE218" i="3" s="1"/>
  <c r="D218" i="3"/>
  <c r="G218" i="3" s="1"/>
  <c r="F218" i="3" l="1"/>
  <c r="I218" i="3"/>
  <c r="J218" i="3"/>
  <c r="M218" i="3"/>
  <c r="N218" i="3" s="1"/>
  <c r="V218" i="3"/>
  <c r="A219" i="3"/>
  <c r="B219" i="3" s="1"/>
  <c r="W218" i="3" l="1"/>
  <c r="L218" i="3"/>
  <c r="P219" i="3"/>
  <c r="Q219" i="3" s="1"/>
  <c r="R219" i="3" s="1"/>
  <c r="S219" i="3" s="1"/>
  <c r="AD219" i="3"/>
  <c r="AC219" i="3"/>
  <c r="AA219" i="3"/>
  <c r="Z219" i="3"/>
  <c r="U218" i="3" l="1"/>
  <c r="Y217" i="3"/>
  <c r="T219" i="3"/>
  <c r="AG219" i="3" s="1"/>
  <c r="D219" i="3" l="1"/>
  <c r="E219" i="3"/>
  <c r="H219" i="3" s="1"/>
  <c r="AH219" i="3"/>
  <c r="F219" i="3" l="1"/>
  <c r="G219" i="3"/>
  <c r="K219" i="3"/>
  <c r="AE219" i="3" s="1"/>
  <c r="I219" i="3" l="1"/>
  <c r="J219" i="3"/>
  <c r="M219" i="3"/>
  <c r="N219" i="3" s="1"/>
  <c r="V219" i="3"/>
  <c r="A220" i="3"/>
  <c r="B220" i="3" s="1"/>
  <c r="W219" i="3" l="1"/>
  <c r="L219" i="3"/>
  <c r="AC220" i="3"/>
  <c r="AD220" i="3"/>
  <c r="Z220" i="3"/>
  <c r="P220" i="3"/>
  <c r="Q220" i="3" s="1"/>
  <c r="R220" i="3" s="1"/>
  <c r="S220" i="3" s="1"/>
  <c r="AA220" i="3"/>
  <c r="U219" i="3" l="1"/>
  <c r="Y218" i="3"/>
  <c r="T220" i="3"/>
  <c r="E220" i="3" l="1"/>
  <c r="H220" i="3" s="1"/>
  <c r="K220" i="3" s="1"/>
  <c r="AE220" i="3" s="1"/>
  <c r="D220" i="3"/>
  <c r="G220" i="3" s="1"/>
  <c r="AG220" i="3"/>
  <c r="AH220" i="3"/>
  <c r="F220" i="3" l="1"/>
  <c r="I220" i="3"/>
  <c r="J220" i="3"/>
  <c r="M220" i="3"/>
  <c r="N220" i="3" s="1"/>
  <c r="V220" i="3"/>
  <c r="A221" i="3"/>
  <c r="B221" i="3" s="1"/>
  <c r="W220" i="3" l="1"/>
  <c r="L220" i="3"/>
  <c r="AA221" i="3"/>
  <c r="AC221" i="3"/>
  <c r="AD221" i="3"/>
  <c r="P221" i="3"/>
  <c r="Q221" i="3" s="1"/>
  <c r="R221" i="3" s="1"/>
  <c r="S221" i="3" s="1"/>
  <c r="Z221" i="3"/>
  <c r="T221" i="3" l="1"/>
  <c r="U220" i="3"/>
  <c r="Y219" i="3"/>
  <c r="D221" i="3" l="1"/>
  <c r="G221" i="3" s="1"/>
  <c r="AH221" i="3"/>
  <c r="AG221" i="3"/>
  <c r="E221" i="3"/>
  <c r="H221" i="3" s="1"/>
  <c r="K221" i="3" l="1"/>
  <c r="AE221" i="3" s="1"/>
  <c r="I221" i="3"/>
  <c r="J221" i="3"/>
  <c r="M221" i="3"/>
  <c r="N221" i="3" s="1"/>
  <c r="F221" i="3"/>
  <c r="L221" i="3" l="1"/>
  <c r="V221" i="3"/>
  <c r="W221" i="3" s="1"/>
  <c r="A222" i="3"/>
  <c r="B222" i="3" s="1"/>
  <c r="P222" i="3" l="1"/>
  <c r="Q222" i="3" s="1"/>
  <c r="R222" i="3" s="1"/>
  <c r="S222" i="3" s="1"/>
  <c r="AC222" i="3"/>
  <c r="Z222" i="3"/>
  <c r="AA222" i="3"/>
  <c r="AD222" i="3"/>
  <c r="U221" i="3"/>
  <c r="Y220" i="3"/>
  <c r="T222" i="3" l="1"/>
  <c r="AH222" i="3" s="1"/>
  <c r="E222" i="3" l="1"/>
  <c r="H222" i="3" s="1"/>
  <c r="AG222" i="3"/>
  <c r="D222" i="3"/>
  <c r="F222" i="3" l="1"/>
  <c r="G222" i="3"/>
  <c r="K222" i="3"/>
  <c r="AE222" i="3" s="1"/>
  <c r="I222" i="3" l="1"/>
  <c r="J222" i="3"/>
  <c r="M222" i="3"/>
  <c r="N222" i="3" s="1"/>
  <c r="V222" i="3"/>
  <c r="A223" i="3"/>
  <c r="B223" i="3" s="1"/>
  <c r="W222" i="3" l="1"/>
  <c r="L222" i="3"/>
  <c r="P223" i="3"/>
  <c r="Q223" i="3" s="1"/>
  <c r="R223" i="3" s="1"/>
  <c r="S223" i="3" s="1"/>
  <c r="Z223" i="3"/>
  <c r="AC223" i="3"/>
  <c r="AD223" i="3"/>
  <c r="AA223" i="3"/>
  <c r="U222" i="3" l="1"/>
  <c r="Y221" i="3"/>
  <c r="T223" i="3"/>
  <c r="D223" i="3" l="1"/>
  <c r="G223" i="3" s="1"/>
  <c r="AG223" i="3"/>
  <c r="AH223" i="3"/>
  <c r="E223" i="3"/>
  <c r="H223" i="3" s="1"/>
  <c r="K223" i="3" s="1"/>
  <c r="AE223" i="3" s="1"/>
  <c r="F223" i="3" l="1"/>
  <c r="I223" i="3"/>
  <c r="J223" i="3"/>
  <c r="M223" i="3"/>
  <c r="N223" i="3" s="1"/>
  <c r="V223" i="3"/>
  <c r="A224" i="3"/>
  <c r="B224" i="3" s="1"/>
  <c r="W223" i="3" l="1"/>
  <c r="L223" i="3"/>
  <c r="Z224" i="3"/>
  <c r="P224" i="3"/>
  <c r="Q224" i="3" s="1"/>
  <c r="R224" i="3" s="1"/>
  <c r="S224" i="3" s="1"/>
  <c r="AC224" i="3"/>
  <c r="AA224" i="3"/>
  <c r="U223" i="3" l="1"/>
  <c r="Y222" i="3"/>
  <c r="T224" i="3"/>
  <c r="D224" i="3" l="1"/>
  <c r="G224" i="3" s="1"/>
  <c r="AG224" i="3"/>
  <c r="AH224" i="3"/>
  <c r="E224" i="3"/>
  <c r="H224" i="3" s="1"/>
  <c r="K224" i="3" s="1"/>
  <c r="AE224" i="3" s="1"/>
  <c r="F224" i="3" l="1"/>
  <c r="I224" i="3"/>
  <c r="J224" i="3"/>
  <c r="M224" i="3"/>
  <c r="N224" i="3" s="1"/>
  <c r="V224" i="3"/>
  <c r="A225" i="3"/>
  <c r="B225" i="3" s="1"/>
  <c r="W224" i="3" l="1"/>
  <c r="L224" i="3"/>
  <c r="AD224" i="3"/>
  <c r="AC225" i="3"/>
  <c r="P225" i="3"/>
  <c r="Q225" i="3" s="1"/>
  <c r="R225" i="3" s="1"/>
  <c r="S225" i="3" s="1"/>
  <c r="AA225" i="3"/>
  <c r="AD225" i="3"/>
  <c r="Z225" i="3"/>
  <c r="U224" i="3" l="1"/>
  <c r="Y223" i="3"/>
  <c r="T225" i="3"/>
  <c r="AG225" i="3" s="1"/>
  <c r="AH225" i="3" l="1"/>
  <c r="E225" i="3"/>
  <c r="H225" i="3" s="1"/>
  <c r="D225" i="3"/>
  <c r="K225" i="3" l="1"/>
  <c r="AE225" i="3" s="1"/>
  <c r="F225" i="3"/>
  <c r="G225" i="3"/>
  <c r="I225" i="3" l="1"/>
  <c r="J225" i="3"/>
  <c r="M225" i="3"/>
  <c r="N225" i="3" s="1"/>
  <c r="V225" i="3"/>
  <c r="A226" i="3"/>
  <c r="B226" i="3" s="1"/>
  <c r="W225" i="3" l="1"/>
  <c r="L225" i="3"/>
  <c r="AD226" i="3"/>
  <c r="Z226" i="3"/>
  <c r="AA226" i="3"/>
  <c r="P226" i="3"/>
  <c r="Q226" i="3" s="1"/>
  <c r="R226" i="3" s="1"/>
  <c r="S226" i="3" s="1"/>
  <c r="AC226" i="3"/>
  <c r="U225" i="3" l="1"/>
  <c r="Y224" i="3"/>
  <c r="T226" i="3"/>
  <c r="D226" i="3" l="1"/>
  <c r="G226" i="3" s="1"/>
  <c r="AH226" i="3"/>
  <c r="AG226" i="3"/>
  <c r="E226" i="3"/>
  <c r="H226" i="3" s="1"/>
  <c r="F226" i="3" l="1"/>
  <c r="I226" i="3"/>
  <c r="J226" i="3"/>
  <c r="M226" i="3"/>
  <c r="N226" i="3" s="1"/>
  <c r="K226" i="3"/>
  <c r="AE226" i="3" s="1"/>
  <c r="V226" i="3" l="1"/>
  <c r="W226" i="3" s="1"/>
  <c r="A227" i="3"/>
  <c r="B227" i="3" s="1"/>
  <c r="L226" i="3"/>
  <c r="U226" i="3" l="1"/>
  <c r="Y225" i="3"/>
  <c r="P227" i="3"/>
  <c r="Q227" i="3" s="1"/>
  <c r="R227" i="3" s="1"/>
  <c r="S227" i="3" s="1"/>
  <c r="AA227" i="3"/>
  <c r="Z227" i="3"/>
  <c r="AD227" i="3"/>
  <c r="AC227" i="3"/>
  <c r="T227" i="3" l="1"/>
  <c r="D227" i="3" s="1"/>
  <c r="E227" i="3" l="1"/>
  <c r="H227" i="3" s="1"/>
  <c r="K227" i="3" s="1"/>
  <c r="AE227" i="3" s="1"/>
  <c r="AH227" i="3"/>
  <c r="AG227" i="3"/>
  <c r="G227" i="3"/>
  <c r="F227" i="3" l="1"/>
  <c r="V227" i="3"/>
  <c r="A228" i="3"/>
  <c r="B228" i="3" s="1"/>
  <c r="I227" i="3"/>
  <c r="J227" i="3"/>
  <c r="M227" i="3"/>
  <c r="N227" i="3" s="1"/>
  <c r="L227" i="3" l="1"/>
  <c r="W227" i="3"/>
  <c r="AD228" i="3"/>
  <c r="AA228" i="3"/>
  <c r="Z228" i="3"/>
  <c r="P228" i="3"/>
  <c r="Q228" i="3" s="1"/>
  <c r="R228" i="3" s="1"/>
  <c r="S228" i="3" s="1"/>
  <c r="AC228" i="3"/>
  <c r="T228" i="3" l="1"/>
  <c r="AG228" i="3" s="1"/>
  <c r="U227" i="3"/>
  <c r="Y226" i="3"/>
  <c r="AH228" i="3" l="1"/>
  <c r="E228" i="3"/>
  <c r="H228" i="3" s="1"/>
  <c r="D228" i="3"/>
  <c r="K228" i="3" l="1"/>
  <c r="AE228" i="3" s="1"/>
  <c r="F228" i="3"/>
  <c r="G228" i="3"/>
  <c r="V228" i="3" l="1"/>
  <c r="A229" i="3"/>
  <c r="B229" i="3" s="1"/>
  <c r="I228" i="3"/>
  <c r="J228" i="3"/>
  <c r="M228" i="3"/>
  <c r="N228" i="3" s="1"/>
  <c r="W228" i="3" l="1"/>
  <c r="L228" i="3"/>
  <c r="AA229" i="3"/>
  <c r="AD229" i="3"/>
  <c r="AC229" i="3"/>
  <c r="P229" i="3"/>
  <c r="Q229" i="3" s="1"/>
  <c r="R229" i="3" s="1"/>
  <c r="S229" i="3" s="1"/>
  <c r="Z229" i="3"/>
  <c r="U228" i="3" l="1"/>
  <c r="Y227" i="3"/>
  <c r="T229" i="3"/>
  <c r="AH229" i="3" s="1"/>
  <c r="D229" i="3" l="1"/>
  <c r="E229" i="3"/>
  <c r="H229" i="3" s="1"/>
  <c r="AG229" i="3"/>
  <c r="K229" i="3" l="1"/>
  <c r="AE229" i="3" s="1"/>
  <c r="F229" i="3"/>
  <c r="G229" i="3"/>
  <c r="V229" i="3" l="1"/>
  <c r="A230" i="3"/>
  <c r="B230" i="3" s="1"/>
  <c r="I229" i="3"/>
  <c r="J229" i="3"/>
  <c r="M229" i="3"/>
  <c r="N229" i="3" s="1"/>
  <c r="L229" i="3" l="1"/>
  <c r="W229" i="3"/>
  <c r="P230" i="3"/>
  <c r="Q230" i="3" s="1"/>
  <c r="R230" i="3" s="1"/>
  <c r="S230" i="3" s="1"/>
  <c r="AA230" i="3"/>
  <c r="AC230" i="3"/>
  <c r="AD230" i="3"/>
  <c r="Z230" i="3"/>
  <c r="U229" i="3" l="1"/>
  <c r="Y228" i="3"/>
  <c r="T230" i="3"/>
  <c r="AH230" i="3" s="1"/>
  <c r="AG230" i="3" l="1"/>
  <c r="D230" i="3"/>
  <c r="E230" i="3"/>
  <c r="H230" i="3" s="1"/>
  <c r="K230" i="3" l="1"/>
  <c r="AE230" i="3" s="1"/>
  <c r="F230" i="3"/>
  <c r="G230" i="3"/>
  <c r="I230" i="3" l="1"/>
  <c r="J230" i="3"/>
  <c r="M230" i="3"/>
  <c r="N230" i="3" s="1"/>
  <c r="V230" i="3"/>
  <c r="A231" i="3"/>
  <c r="B231" i="3" s="1"/>
  <c r="W230" i="3" l="1"/>
  <c r="L230" i="3"/>
  <c r="AD231" i="3"/>
  <c r="P231" i="3"/>
  <c r="Q231" i="3" s="1"/>
  <c r="R231" i="3" s="1"/>
  <c r="S231" i="3" s="1"/>
  <c r="AA231" i="3"/>
  <c r="Z231" i="3"/>
  <c r="AC231" i="3"/>
  <c r="T231" i="3" l="1"/>
  <c r="U230" i="3"/>
  <c r="Y229" i="3"/>
  <c r="D231" i="3" l="1"/>
  <c r="G231" i="3" s="1"/>
  <c r="E231" i="3"/>
  <c r="H231" i="3" s="1"/>
  <c r="K231" i="3" s="1"/>
  <c r="AE231" i="3" s="1"/>
  <c r="AG231" i="3"/>
  <c r="AH231" i="3"/>
  <c r="F231" i="3" l="1"/>
  <c r="V231" i="3"/>
  <c r="A232" i="3"/>
  <c r="B232" i="3" s="1"/>
  <c r="I231" i="3"/>
  <c r="J231" i="3"/>
  <c r="M231" i="3"/>
  <c r="N231" i="3" s="1"/>
  <c r="L231" i="3" l="1"/>
  <c r="W231" i="3"/>
  <c r="P232" i="3"/>
  <c r="Q232" i="3" s="1"/>
  <c r="R232" i="3" s="1"/>
  <c r="S232" i="3" s="1"/>
  <c r="AD232" i="3"/>
  <c r="Z232" i="3"/>
  <c r="AA232" i="3"/>
  <c r="AC232" i="3"/>
  <c r="U231" i="3" l="1"/>
  <c r="Y230" i="3"/>
  <c r="T232" i="3"/>
  <c r="D232" i="3" l="1"/>
  <c r="G232" i="3" s="1"/>
  <c r="AG232" i="3"/>
  <c r="E232" i="3"/>
  <c r="H232" i="3" s="1"/>
  <c r="AH232" i="3"/>
  <c r="F232" i="3" l="1"/>
  <c r="I232" i="3"/>
  <c r="J232" i="3"/>
  <c r="M232" i="3"/>
  <c r="N232" i="3" s="1"/>
  <c r="K232" i="3"/>
  <c r="AE232" i="3" s="1"/>
  <c r="V232" i="3" l="1"/>
  <c r="W232" i="3" s="1"/>
  <c r="A233" i="3"/>
  <c r="B233" i="3" s="1"/>
  <c r="L232" i="3"/>
  <c r="U232" i="3" l="1"/>
  <c r="Y231" i="3"/>
  <c r="AA233" i="3"/>
  <c r="AD233" i="3"/>
  <c r="AC233" i="3"/>
  <c r="P233" i="3"/>
  <c r="Q233" i="3" s="1"/>
  <c r="R233" i="3" s="1"/>
  <c r="S233" i="3" s="1"/>
  <c r="Z233" i="3"/>
  <c r="T233" i="3" l="1"/>
  <c r="D233" i="3" s="1"/>
  <c r="AG233" i="3" l="1"/>
  <c r="AH233" i="3"/>
  <c r="E233" i="3"/>
  <c r="H233" i="3" s="1"/>
  <c r="K233" i="3" s="1"/>
  <c r="AE233" i="3" s="1"/>
  <c r="G233" i="3"/>
  <c r="F233" i="3" l="1"/>
  <c r="I233" i="3"/>
  <c r="J233" i="3"/>
  <c r="M233" i="3"/>
  <c r="N233" i="3" s="1"/>
  <c r="V233" i="3"/>
  <c r="A234" i="3"/>
  <c r="B234" i="3" s="1"/>
  <c r="W233" i="3" l="1"/>
  <c r="L233" i="3"/>
  <c r="Z234" i="3"/>
  <c r="P234" i="3"/>
  <c r="Q234" i="3" s="1"/>
  <c r="R234" i="3" s="1"/>
  <c r="S234" i="3" s="1"/>
  <c r="AC234" i="3"/>
  <c r="AA234" i="3"/>
  <c r="U233" i="3" l="1"/>
  <c r="Y232" i="3"/>
  <c r="T234" i="3"/>
  <c r="E234" i="3" l="1"/>
  <c r="H234" i="3" s="1"/>
  <c r="K234" i="3" s="1"/>
  <c r="AE234" i="3" s="1"/>
  <c r="AG234" i="3"/>
  <c r="AH234" i="3"/>
  <c r="D234" i="3"/>
  <c r="G234" i="3" s="1"/>
  <c r="F234" i="3" l="1"/>
  <c r="I234" i="3"/>
  <c r="J234" i="3"/>
  <c r="M234" i="3"/>
  <c r="N234" i="3" s="1"/>
  <c r="V234" i="3"/>
  <c r="A235" i="3"/>
  <c r="B235" i="3" s="1"/>
  <c r="L234" i="3" l="1"/>
  <c r="AD234" i="3"/>
  <c r="W234" i="3"/>
  <c r="AC235" i="3"/>
  <c r="AA235" i="3"/>
  <c r="Z235" i="3"/>
  <c r="P235" i="3"/>
  <c r="Q235" i="3" s="1"/>
  <c r="R235" i="3" s="1"/>
  <c r="S235" i="3" s="1"/>
  <c r="AD235" i="3"/>
  <c r="U234" i="3" l="1"/>
  <c r="Y233" i="3"/>
  <c r="T235" i="3"/>
  <c r="E235" i="3" l="1"/>
  <c r="H235" i="3" s="1"/>
  <c r="K235" i="3" s="1"/>
  <c r="AE235" i="3" s="1"/>
  <c r="AG235" i="3"/>
  <c r="D235" i="3"/>
  <c r="AH235" i="3"/>
  <c r="F235" i="3" l="1"/>
  <c r="G235" i="3"/>
  <c r="V235" i="3"/>
  <c r="A236" i="3"/>
  <c r="B236" i="3" s="1"/>
  <c r="AD236" i="3" l="1"/>
  <c r="P236" i="3"/>
  <c r="Q236" i="3" s="1"/>
  <c r="R236" i="3" s="1"/>
  <c r="S236" i="3" s="1"/>
  <c r="AA236" i="3"/>
  <c r="Z236" i="3"/>
  <c r="AC236" i="3"/>
  <c r="I235" i="3"/>
  <c r="W235" i="3" s="1"/>
  <c r="J235" i="3"/>
  <c r="M235" i="3"/>
  <c r="N235" i="3" s="1"/>
  <c r="T236" i="3" l="1"/>
  <c r="L235" i="3"/>
  <c r="U235" i="3" l="1"/>
  <c r="D236" i="3" s="1"/>
  <c r="AH236" i="3"/>
  <c r="AG236" i="3"/>
  <c r="Y234" i="3"/>
  <c r="E236" i="3" l="1"/>
  <c r="H236" i="3" s="1"/>
  <c r="K236" i="3" s="1"/>
  <c r="AE236" i="3" s="1"/>
  <c r="G236" i="3"/>
  <c r="F236" i="3" l="1"/>
  <c r="I236" i="3"/>
  <c r="J236" i="3"/>
  <c r="M236" i="3"/>
  <c r="N236" i="3" s="1"/>
  <c r="V236" i="3"/>
  <c r="A237" i="3"/>
  <c r="B237" i="3" s="1"/>
  <c r="W236" i="3" l="1"/>
  <c r="L236" i="3"/>
  <c r="P237" i="3"/>
  <c r="Q237" i="3" s="1"/>
  <c r="R237" i="3" s="1"/>
  <c r="S237" i="3" s="1"/>
  <c r="AA237" i="3"/>
  <c r="Z237" i="3"/>
  <c r="AD237" i="3"/>
  <c r="AC237" i="3"/>
  <c r="U236" i="3" l="1"/>
  <c r="Y235" i="3"/>
  <c r="T237" i="3"/>
  <c r="AH237" i="3" s="1"/>
  <c r="E237" i="3" l="1"/>
  <c r="H237" i="3" s="1"/>
  <c r="K237" i="3" s="1"/>
  <c r="AE237" i="3" s="1"/>
  <c r="AG237" i="3"/>
  <c r="D237" i="3"/>
  <c r="F237" i="3" l="1"/>
  <c r="G237" i="3"/>
  <c r="M237" i="3" s="1"/>
  <c r="N237" i="3" s="1"/>
  <c r="V237" i="3"/>
  <c r="A238" i="3"/>
  <c r="B238" i="3" s="1"/>
  <c r="I237" i="3" l="1"/>
  <c r="W237" i="3" s="1"/>
  <c r="J237" i="3"/>
  <c r="L237" i="3" s="1"/>
  <c r="P238" i="3"/>
  <c r="Q238" i="3" s="1"/>
  <c r="R238" i="3" s="1"/>
  <c r="S238" i="3" s="1"/>
  <c r="Z238" i="3"/>
  <c r="AC238" i="3"/>
  <c r="AA238" i="3"/>
  <c r="AD238" i="3"/>
  <c r="T238" i="3" l="1"/>
  <c r="AG238" i="3" s="1"/>
  <c r="U237" i="3"/>
  <c r="Y236" i="3"/>
  <c r="AH238" i="3" l="1"/>
  <c r="E238" i="3"/>
  <c r="H238" i="3" s="1"/>
  <c r="K238" i="3" s="1"/>
  <c r="AE238" i="3" s="1"/>
  <c r="D238" i="3"/>
  <c r="F238" i="3" l="1"/>
  <c r="G238" i="3"/>
  <c r="M238" i="3" s="1"/>
  <c r="N238" i="3" s="1"/>
  <c r="V238" i="3"/>
  <c r="A239" i="3"/>
  <c r="B239" i="3" s="1"/>
  <c r="I238" i="3" l="1"/>
  <c r="W238" i="3" s="1"/>
  <c r="J238" i="3"/>
  <c r="L238" i="3" s="1"/>
  <c r="AD239" i="3"/>
  <c r="P239" i="3"/>
  <c r="Q239" i="3" s="1"/>
  <c r="R239" i="3" s="1"/>
  <c r="S239" i="3" s="1"/>
  <c r="AC239" i="3"/>
  <c r="Z239" i="3"/>
  <c r="AA239" i="3"/>
  <c r="T239" i="3" l="1"/>
  <c r="U238" i="3"/>
  <c r="Y237" i="3"/>
  <c r="D239" i="3" l="1"/>
  <c r="G239" i="3" s="1"/>
  <c r="E239" i="3"/>
  <c r="H239" i="3" s="1"/>
  <c r="K239" i="3" s="1"/>
  <c r="AE239" i="3" s="1"/>
  <c r="AG239" i="3"/>
  <c r="AH239" i="3"/>
  <c r="F239" i="3" l="1"/>
  <c r="I239" i="3"/>
  <c r="J239" i="3"/>
  <c r="M239" i="3"/>
  <c r="N239" i="3" s="1"/>
  <c r="V239" i="3"/>
  <c r="A240" i="3"/>
  <c r="B240" i="3" s="1"/>
  <c r="W239" i="3" l="1"/>
  <c r="L239" i="3"/>
  <c r="Z240" i="3"/>
  <c r="P240" i="3"/>
  <c r="Q240" i="3" s="1"/>
  <c r="R240" i="3" s="1"/>
  <c r="S240" i="3" s="1"/>
  <c r="AD240" i="3"/>
  <c r="AA240" i="3"/>
  <c r="AC240" i="3"/>
  <c r="U239" i="3" l="1"/>
  <c r="Y238" i="3"/>
  <c r="T240" i="3"/>
  <c r="E240" i="3" l="1"/>
  <c r="H240" i="3" s="1"/>
  <c r="K240" i="3" s="1"/>
  <c r="AE240" i="3" s="1"/>
  <c r="D240" i="3"/>
  <c r="AG240" i="3"/>
  <c r="AH240" i="3"/>
  <c r="V240" i="3" l="1"/>
  <c r="A241" i="3"/>
  <c r="B241" i="3" s="1"/>
  <c r="F240" i="3"/>
  <c r="G240" i="3"/>
  <c r="I240" i="3" l="1"/>
  <c r="W240" i="3" s="1"/>
  <c r="J240" i="3"/>
  <c r="M240" i="3"/>
  <c r="N240" i="3" s="1"/>
  <c r="Z241" i="3"/>
  <c r="AD241" i="3"/>
  <c r="AC241" i="3"/>
  <c r="P241" i="3"/>
  <c r="Q241" i="3" s="1"/>
  <c r="R241" i="3" s="1"/>
  <c r="S241" i="3" s="1"/>
  <c r="AA241" i="3"/>
  <c r="T241" i="3" l="1"/>
  <c r="L240" i="3"/>
  <c r="AG241" i="3" l="1"/>
  <c r="AH241" i="3"/>
  <c r="U240" i="3"/>
  <c r="D241" i="3" s="1"/>
  <c r="Y239" i="3"/>
  <c r="G241" i="3" l="1"/>
  <c r="E241" i="3"/>
  <c r="H241" i="3" s="1"/>
  <c r="F241" i="3" l="1"/>
  <c r="I241" i="3"/>
  <c r="J241" i="3"/>
  <c r="M241" i="3"/>
  <c r="N241" i="3" s="1"/>
  <c r="K241" i="3"/>
  <c r="AE241" i="3" s="1"/>
  <c r="V241" i="3" l="1"/>
  <c r="W241" i="3" s="1"/>
  <c r="A242" i="3"/>
  <c r="B242" i="3" s="1"/>
  <c r="L241" i="3"/>
  <c r="U241" i="3" l="1"/>
  <c r="Y240" i="3"/>
  <c r="Z242" i="3"/>
  <c r="AA242" i="3"/>
  <c r="P242" i="3"/>
  <c r="Q242" i="3" s="1"/>
  <c r="R242" i="3" s="1"/>
  <c r="S242" i="3" s="1"/>
  <c r="AD242" i="3"/>
  <c r="AC242" i="3"/>
  <c r="T242" i="3" l="1"/>
  <c r="D242" i="3" s="1"/>
  <c r="E242" i="3" l="1"/>
  <c r="H242" i="3" s="1"/>
  <c r="K242" i="3" s="1"/>
  <c r="AE242" i="3" s="1"/>
  <c r="G242" i="3"/>
  <c r="AH242" i="3"/>
  <c r="AG242" i="3"/>
  <c r="F242" i="3" l="1"/>
  <c r="I242" i="3"/>
  <c r="J242" i="3"/>
  <c r="M242" i="3"/>
  <c r="N242" i="3" s="1"/>
  <c r="V242" i="3"/>
  <c r="A243" i="3"/>
  <c r="B243" i="3" s="1"/>
  <c r="W242" i="3" l="1"/>
  <c r="L242" i="3"/>
  <c r="AA243" i="3"/>
  <c r="AC243" i="3"/>
  <c r="Z243" i="3"/>
  <c r="P243" i="3"/>
  <c r="Q243" i="3" s="1"/>
  <c r="R243" i="3" s="1"/>
  <c r="S243" i="3" s="1"/>
  <c r="AD243" i="3"/>
  <c r="U242" i="3" l="1"/>
  <c r="Y241" i="3"/>
  <c r="T243" i="3"/>
  <c r="AH243" i="3" s="1"/>
  <c r="D243" i="3" l="1"/>
  <c r="G243" i="3" s="1"/>
  <c r="E243" i="3"/>
  <c r="H243" i="3" s="1"/>
  <c r="K243" i="3" s="1"/>
  <c r="AE243" i="3" s="1"/>
  <c r="AG243" i="3"/>
  <c r="F243" i="3" l="1"/>
  <c r="I243" i="3"/>
  <c r="J243" i="3"/>
  <c r="M243" i="3"/>
  <c r="N243" i="3" s="1"/>
  <c r="V243" i="3"/>
  <c r="A244" i="3"/>
  <c r="B244" i="3" s="1"/>
  <c r="W243" i="3" l="1"/>
  <c r="L243" i="3"/>
  <c r="AA244" i="3"/>
  <c r="P244" i="3"/>
  <c r="Q244" i="3" s="1"/>
  <c r="R244" i="3" s="1"/>
  <c r="S244" i="3" s="1"/>
  <c r="Z244" i="3"/>
  <c r="AC244" i="3"/>
  <c r="U243" i="3" l="1"/>
  <c r="Y242" i="3"/>
  <c r="T244" i="3"/>
  <c r="D244" i="3" l="1"/>
  <c r="G244" i="3" s="1"/>
  <c r="E244" i="3"/>
  <c r="H244" i="3" s="1"/>
  <c r="AG244" i="3"/>
  <c r="AH244" i="3"/>
  <c r="I244" i="3" l="1"/>
  <c r="J244" i="3"/>
  <c r="M244" i="3"/>
  <c r="N244" i="3" s="1"/>
  <c r="F244" i="3"/>
  <c r="K244" i="3"/>
  <c r="AE244" i="3" s="1"/>
  <c r="L244" i="3" l="1"/>
  <c r="AD244" i="3"/>
  <c r="V244" i="3"/>
  <c r="W244" i="3" s="1"/>
  <c r="A245" i="3"/>
  <c r="B245" i="3" s="1"/>
  <c r="U244" i="3" l="1"/>
  <c r="Y243" i="3"/>
  <c r="Z245" i="3"/>
  <c r="AD245" i="3"/>
  <c r="AA245" i="3"/>
  <c r="P245" i="3"/>
  <c r="Q245" i="3" s="1"/>
  <c r="R245" i="3" s="1"/>
  <c r="S245" i="3" s="1"/>
  <c r="AC245" i="3"/>
  <c r="T245" i="3" l="1"/>
  <c r="AG245" i="3" s="1"/>
  <c r="D245" i="3" l="1"/>
  <c r="G245" i="3" s="1"/>
  <c r="AH245" i="3"/>
  <c r="E245" i="3"/>
  <c r="H245" i="3" s="1"/>
  <c r="F245" i="3" l="1"/>
  <c r="I245" i="3"/>
  <c r="J245" i="3"/>
  <c r="M245" i="3"/>
  <c r="N245" i="3" s="1"/>
  <c r="K245" i="3"/>
  <c r="AE245" i="3" s="1"/>
  <c r="V245" i="3" l="1"/>
  <c r="W245" i="3" s="1"/>
  <c r="A246" i="3"/>
  <c r="B246" i="3" s="1"/>
  <c r="L245" i="3"/>
  <c r="U245" i="3" l="1"/>
  <c r="Y244" i="3"/>
  <c r="P246" i="3"/>
  <c r="Q246" i="3" s="1"/>
  <c r="R246" i="3" s="1"/>
  <c r="S246" i="3" s="1"/>
  <c r="AC246" i="3"/>
  <c r="Z246" i="3"/>
  <c r="AD246" i="3"/>
  <c r="AA246" i="3"/>
  <c r="T246" i="3" l="1"/>
  <c r="D246" i="3" s="1"/>
  <c r="E246" i="3" l="1"/>
  <c r="H246" i="3" s="1"/>
  <c r="K246" i="3" s="1"/>
  <c r="AE246" i="3" s="1"/>
  <c r="AG246" i="3"/>
  <c r="AH246" i="3"/>
  <c r="G246" i="3"/>
  <c r="F246" i="3" l="1"/>
  <c r="I246" i="3"/>
  <c r="J246" i="3"/>
  <c r="M246" i="3"/>
  <c r="N246" i="3" s="1"/>
  <c r="V246" i="3"/>
  <c r="A247" i="3"/>
  <c r="B247" i="3" s="1"/>
  <c r="W246" i="3" l="1"/>
  <c r="L246" i="3"/>
  <c r="P247" i="3"/>
  <c r="Q247" i="3" s="1"/>
  <c r="R247" i="3" s="1"/>
  <c r="S247" i="3" s="1"/>
  <c r="AA247" i="3"/>
  <c r="AC247" i="3"/>
  <c r="Z247" i="3"/>
  <c r="AD247" i="3"/>
  <c r="U246" i="3" l="1"/>
  <c r="Y245" i="3"/>
  <c r="T247" i="3"/>
  <c r="AG247" i="3" s="1"/>
  <c r="AH247" i="3" l="1"/>
  <c r="D247" i="3"/>
  <c r="E247" i="3"/>
  <c r="H247" i="3" s="1"/>
  <c r="K247" i="3" s="1"/>
  <c r="AE247" i="3" s="1"/>
  <c r="F247" i="3" l="1"/>
  <c r="G247" i="3"/>
  <c r="M247" i="3" s="1"/>
  <c r="N247" i="3" s="1"/>
  <c r="V247" i="3"/>
  <c r="A248" i="3"/>
  <c r="B248" i="3" s="1"/>
  <c r="I247" i="3" l="1"/>
  <c r="W247" i="3" s="1"/>
  <c r="J247" i="3"/>
  <c r="L247" i="3" s="1"/>
  <c r="Z248" i="3"/>
  <c r="P248" i="3"/>
  <c r="Q248" i="3" s="1"/>
  <c r="R248" i="3" s="1"/>
  <c r="S248" i="3" s="1"/>
  <c r="AA248" i="3"/>
  <c r="AC248" i="3"/>
  <c r="AD248" i="3"/>
  <c r="U247" i="3" l="1"/>
  <c r="Y246" i="3"/>
  <c r="T248" i="3"/>
  <c r="AG248" i="3" s="1"/>
  <c r="E248" i="3" l="1"/>
  <c r="H248" i="3" s="1"/>
  <c r="K248" i="3" s="1"/>
  <c r="AE248" i="3" s="1"/>
  <c r="AH248" i="3"/>
  <c r="D248" i="3"/>
  <c r="G248" i="3" s="1"/>
  <c r="F248" i="3" l="1"/>
  <c r="I248" i="3"/>
  <c r="J248" i="3"/>
  <c r="M248" i="3"/>
  <c r="N248" i="3" s="1"/>
  <c r="V248" i="3"/>
  <c r="A249" i="3"/>
  <c r="B249" i="3" s="1"/>
  <c r="W248" i="3" l="1"/>
  <c r="L248" i="3"/>
  <c r="AC249" i="3"/>
  <c r="P249" i="3"/>
  <c r="Q249" i="3" s="1"/>
  <c r="R249" i="3" s="1"/>
  <c r="S249" i="3" s="1"/>
  <c r="Z249" i="3"/>
  <c r="AD249" i="3"/>
  <c r="AA249" i="3"/>
  <c r="U248" i="3" l="1"/>
  <c r="Y247" i="3"/>
  <c r="T249" i="3"/>
  <c r="AG249" i="3" s="1"/>
  <c r="D249" i="3" l="1"/>
  <c r="G249" i="3" s="1"/>
  <c r="AH249" i="3"/>
  <c r="E249" i="3"/>
  <c r="H249" i="3" s="1"/>
  <c r="K249" i="3" s="1"/>
  <c r="AE249" i="3" s="1"/>
  <c r="F249" i="3" l="1"/>
  <c r="I249" i="3"/>
  <c r="J249" i="3"/>
  <c r="M249" i="3"/>
  <c r="N249" i="3" s="1"/>
  <c r="V249" i="3"/>
  <c r="A250" i="3"/>
  <c r="B250" i="3" s="1"/>
  <c r="W249" i="3" l="1"/>
  <c r="L249" i="3"/>
  <c r="AC250" i="3"/>
  <c r="AA250" i="3"/>
  <c r="P250" i="3"/>
  <c r="Q250" i="3" s="1"/>
  <c r="R250" i="3" s="1"/>
  <c r="S250" i="3" s="1"/>
  <c r="AD250" i="3"/>
  <c r="Z250" i="3"/>
  <c r="T250" i="3" l="1"/>
  <c r="AG250" i="3" s="1"/>
  <c r="U249" i="3"/>
  <c r="Y248" i="3"/>
  <c r="D250" i="3" l="1"/>
  <c r="E250" i="3"/>
  <c r="H250" i="3" s="1"/>
  <c r="AH250" i="3"/>
  <c r="F250" i="3" l="1"/>
  <c r="G250" i="3"/>
  <c r="K250" i="3"/>
  <c r="AE250" i="3" s="1"/>
  <c r="V250" i="3" l="1"/>
  <c r="A251" i="3"/>
  <c r="B251" i="3" s="1"/>
  <c r="I250" i="3"/>
  <c r="J250" i="3"/>
  <c r="M250" i="3"/>
  <c r="N250" i="3" s="1"/>
  <c r="W250" i="3" l="1"/>
  <c r="L250" i="3"/>
  <c r="P251" i="3"/>
  <c r="Q251" i="3" s="1"/>
  <c r="R251" i="3" s="1"/>
  <c r="S251" i="3" s="1"/>
  <c r="AC251" i="3"/>
  <c r="AA251" i="3"/>
  <c r="Z251" i="3"/>
  <c r="AD251" i="3"/>
  <c r="U250" i="3" l="1"/>
  <c r="Y249" i="3"/>
  <c r="T251" i="3"/>
  <c r="D251" i="3" l="1"/>
  <c r="G251" i="3" s="1"/>
  <c r="AG251" i="3"/>
  <c r="AH251" i="3"/>
  <c r="E251" i="3"/>
  <c r="H251" i="3" s="1"/>
  <c r="I251" i="3" l="1"/>
  <c r="J251" i="3"/>
  <c r="M251" i="3"/>
  <c r="N251" i="3" s="1"/>
  <c r="K251" i="3"/>
  <c r="AE251" i="3" s="1"/>
  <c r="F251" i="3"/>
  <c r="V251" i="3" l="1"/>
  <c r="W251" i="3" s="1"/>
  <c r="A252" i="3"/>
  <c r="B252" i="3" s="1"/>
  <c r="L251" i="3"/>
  <c r="U251" i="3" l="1"/>
  <c r="Y250" i="3"/>
  <c r="AD252" i="3"/>
  <c r="Z252" i="3"/>
  <c r="AA252" i="3"/>
  <c r="P252" i="3"/>
  <c r="Q252" i="3" s="1"/>
  <c r="R252" i="3" s="1"/>
  <c r="S252" i="3" s="1"/>
  <c r="AC252" i="3"/>
  <c r="T252" i="3" l="1"/>
  <c r="AH252" i="3" s="1"/>
  <c r="E252" i="3" l="1"/>
  <c r="H252" i="3" s="1"/>
  <c r="K252" i="3" s="1"/>
  <c r="AE252" i="3" s="1"/>
  <c r="AG252" i="3"/>
  <c r="D252" i="3"/>
  <c r="F252" i="3" l="1"/>
  <c r="G252" i="3"/>
  <c r="V252" i="3"/>
  <c r="A253" i="3"/>
  <c r="B253" i="3" s="1"/>
  <c r="AC253" i="3" l="1"/>
  <c r="AA253" i="3"/>
  <c r="AD253" i="3"/>
  <c r="P253" i="3"/>
  <c r="Q253" i="3" s="1"/>
  <c r="R253" i="3" s="1"/>
  <c r="S253" i="3" s="1"/>
  <c r="Z253" i="3"/>
  <c r="I252" i="3"/>
  <c r="W252" i="3" s="1"/>
  <c r="J252" i="3"/>
  <c r="M252" i="3"/>
  <c r="N252" i="3" s="1"/>
  <c r="L252" i="3" l="1"/>
  <c r="T253" i="3"/>
  <c r="AH253" i="3" l="1"/>
  <c r="U252" i="3"/>
  <c r="E253" i="3" s="1"/>
  <c r="H253" i="3" s="1"/>
  <c r="AG253" i="3"/>
  <c r="Y251" i="3"/>
  <c r="D253" i="3" l="1"/>
  <c r="F253" i="3" s="1"/>
  <c r="K253" i="3"/>
  <c r="AE253" i="3" s="1"/>
  <c r="G253" i="3" l="1"/>
  <c r="J253" i="3" s="1"/>
  <c r="V253" i="3"/>
  <c r="A254" i="3"/>
  <c r="B254" i="3" s="1"/>
  <c r="M253" i="3" l="1"/>
  <c r="N253" i="3" s="1"/>
  <c r="I253" i="3"/>
  <c r="W253" i="3" s="1"/>
  <c r="L253" i="3"/>
  <c r="AA254" i="3"/>
  <c r="AC254" i="3"/>
  <c r="P254" i="3"/>
  <c r="Q254" i="3" s="1"/>
  <c r="R254" i="3" s="1"/>
  <c r="S254" i="3" s="1"/>
  <c r="Z254" i="3"/>
  <c r="U253" i="3" l="1"/>
  <c r="Y252" i="3"/>
  <c r="T254" i="3"/>
  <c r="AH254" i="3" s="1"/>
  <c r="D254" i="3" l="1"/>
  <c r="G254" i="3" s="1"/>
  <c r="E254" i="3"/>
  <c r="H254" i="3" s="1"/>
  <c r="K254" i="3" s="1"/>
  <c r="AE254" i="3" s="1"/>
  <c r="AG254" i="3"/>
  <c r="F254" i="3" l="1"/>
  <c r="I254" i="3"/>
  <c r="J254" i="3"/>
  <c r="M254" i="3"/>
  <c r="N254" i="3" s="1"/>
  <c r="V254" i="3"/>
  <c r="A255" i="3"/>
  <c r="B255" i="3" s="1"/>
  <c r="W254" i="3" l="1"/>
  <c r="L254" i="3"/>
  <c r="AD254" i="3"/>
  <c r="AA255" i="3"/>
  <c r="AC255" i="3"/>
  <c r="AD255" i="3"/>
  <c r="Z255" i="3"/>
  <c r="P255" i="3"/>
  <c r="Q255" i="3" s="1"/>
  <c r="R255" i="3" s="1"/>
  <c r="S255" i="3" s="1"/>
  <c r="U254" i="3" l="1"/>
  <c r="Y253" i="3"/>
  <c r="T255" i="3"/>
  <c r="D255" i="3" l="1"/>
  <c r="G255" i="3" s="1"/>
  <c r="AG255" i="3"/>
  <c r="AH255" i="3"/>
  <c r="E255" i="3"/>
  <c r="H255" i="3" s="1"/>
  <c r="K255" i="3" s="1"/>
  <c r="AE255" i="3" s="1"/>
  <c r="F255" i="3" l="1"/>
  <c r="I255" i="3"/>
  <c r="J255" i="3"/>
  <c r="M255" i="3"/>
  <c r="N255" i="3" s="1"/>
  <c r="V255" i="3"/>
  <c r="A256" i="3"/>
  <c r="B256" i="3" s="1"/>
  <c r="W255" i="3" l="1"/>
  <c r="L255" i="3"/>
  <c r="AA256" i="3"/>
  <c r="AD256" i="3"/>
  <c r="P256" i="3"/>
  <c r="Q256" i="3" s="1"/>
  <c r="R256" i="3" s="1"/>
  <c r="S256" i="3" s="1"/>
  <c r="Z256" i="3"/>
  <c r="AC256" i="3"/>
  <c r="U255" i="3" l="1"/>
  <c r="Y254" i="3"/>
  <c r="T256" i="3"/>
  <c r="D256" i="3" l="1"/>
  <c r="G256" i="3" s="1"/>
  <c r="E256" i="3"/>
  <c r="H256" i="3" s="1"/>
  <c r="AH256" i="3"/>
  <c r="AG256" i="3"/>
  <c r="F256" i="3" l="1"/>
  <c r="I256" i="3"/>
  <c r="J256" i="3"/>
  <c r="M256" i="3"/>
  <c r="N256" i="3" s="1"/>
  <c r="K256" i="3"/>
  <c r="AE256" i="3" s="1"/>
  <c r="L256" i="3" l="1"/>
  <c r="V256" i="3"/>
  <c r="W256" i="3" s="1"/>
  <c r="A257" i="3"/>
  <c r="B257" i="3" s="1"/>
  <c r="U256" i="3" l="1"/>
  <c r="Y255" i="3"/>
  <c r="AD257" i="3"/>
  <c r="AC257" i="3"/>
  <c r="Z257" i="3"/>
  <c r="P257" i="3"/>
  <c r="Q257" i="3" s="1"/>
  <c r="R257" i="3" s="1"/>
  <c r="S257" i="3" s="1"/>
  <c r="AA257" i="3"/>
  <c r="T257" i="3" l="1"/>
  <c r="D257" i="3" s="1"/>
  <c r="E257" i="3" l="1"/>
  <c r="H257" i="3" s="1"/>
  <c r="K257" i="3" s="1"/>
  <c r="AE257" i="3" s="1"/>
  <c r="AG257" i="3"/>
  <c r="AH257" i="3"/>
  <c r="G257" i="3"/>
  <c r="F257" i="3" l="1"/>
  <c r="V257" i="3"/>
  <c r="A258" i="3"/>
  <c r="B258" i="3" s="1"/>
  <c r="I257" i="3"/>
  <c r="J257" i="3"/>
  <c r="M257" i="3"/>
  <c r="N257" i="3" s="1"/>
  <c r="W257" i="3" l="1"/>
  <c r="L257" i="3"/>
  <c r="AC258" i="3"/>
  <c r="AD258" i="3"/>
  <c r="Z258" i="3"/>
  <c r="P258" i="3"/>
  <c r="Q258" i="3" s="1"/>
  <c r="R258" i="3" s="1"/>
  <c r="S258" i="3" s="1"/>
  <c r="AA258" i="3"/>
  <c r="U257" i="3" l="1"/>
  <c r="Y256" i="3"/>
  <c r="T258" i="3"/>
  <c r="AG258" i="3" s="1"/>
  <c r="E258" i="3" l="1"/>
  <c r="H258" i="3" s="1"/>
  <c r="D258" i="3"/>
  <c r="AH258" i="3"/>
  <c r="F258" i="3" l="1"/>
  <c r="G258" i="3"/>
  <c r="K258" i="3"/>
  <c r="AE258" i="3" s="1"/>
  <c r="V258" i="3" l="1"/>
  <c r="A259" i="3"/>
  <c r="B259" i="3" s="1"/>
  <c r="I258" i="3"/>
  <c r="J258" i="3"/>
  <c r="M258" i="3"/>
  <c r="N258" i="3" s="1"/>
  <c r="L258" i="3" l="1"/>
  <c r="AC259" i="3"/>
  <c r="P259" i="3"/>
  <c r="Q259" i="3" s="1"/>
  <c r="R259" i="3" s="1"/>
  <c r="S259" i="3" s="1"/>
  <c r="Z259" i="3"/>
  <c r="AD259" i="3"/>
  <c r="AA259" i="3"/>
  <c r="W258" i="3"/>
  <c r="U258" i="3" l="1"/>
  <c r="Y257" i="3"/>
  <c r="T259" i="3"/>
  <c r="AH259" i="3" s="1"/>
  <c r="D259" i="3" l="1"/>
  <c r="G259" i="3" s="1"/>
  <c r="AG259" i="3"/>
  <c r="E259" i="3"/>
  <c r="H259" i="3" s="1"/>
  <c r="K259" i="3" s="1"/>
  <c r="AE259" i="3" s="1"/>
  <c r="F259" i="3" l="1"/>
  <c r="I259" i="3"/>
  <c r="J259" i="3"/>
  <c r="M259" i="3"/>
  <c r="N259" i="3" s="1"/>
  <c r="V259" i="3"/>
  <c r="A260" i="3"/>
  <c r="B260" i="3" s="1"/>
  <c r="W259" i="3" l="1"/>
  <c r="L259" i="3"/>
  <c r="AA260" i="3"/>
  <c r="P260" i="3"/>
  <c r="Q260" i="3" s="1"/>
  <c r="R260" i="3" s="1"/>
  <c r="S260" i="3" s="1"/>
  <c r="AD260" i="3"/>
  <c r="Z260" i="3"/>
  <c r="AC260" i="3"/>
  <c r="U259" i="3" l="1"/>
  <c r="Y258" i="3"/>
  <c r="T260" i="3"/>
  <c r="AH260" i="3" s="1"/>
  <c r="AG260" i="3" l="1"/>
  <c r="D260" i="3"/>
  <c r="E260" i="3"/>
  <c r="H260" i="3" s="1"/>
  <c r="K260" i="3" l="1"/>
  <c r="AE260" i="3" s="1"/>
  <c r="F260" i="3"/>
  <c r="G260" i="3"/>
  <c r="I260" i="3" l="1"/>
  <c r="J260" i="3"/>
  <c r="M260" i="3"/>
  <c r="N260" i="3" s="1"/>
  <c r="V260" i="3"/>
  <c r="A261" i="3"/>
  <c r="B261" i="3" s="1"/>
  <c r="W260" i="3" l="1"/>
  <c r="L260" i="3"/>
  <c r="Z261" i="3"/>
  <c r="AA261" i="3"/>
  <c r="AD261" i="3"/>
  <c r="P261" i="3"/>
  <c r="Q261" i="3" s="1"/>
  <c r="R261" i="3" s="1"/>
  <c r="S261" i="3" s="1"/>
  <c r="AC261" i="3"/>
  <c r="U260" i="3" l="1"/>
  <c r="Y259" i="3"/>
  <c r="T261" i="3"/>
  <c r="AH261" i="3" s="1"/>
  <c r="E261" i="3" l="1"/>
  <c r="H261" i="3" s="1"/>
  <c r="D261" i="3"/>
  <c r="AG261" i="3"/>
  <c r="K261" i="3" l="1"/>
  <c r="AE261" i="3" s="1"/>
  <c r="F261" i="3"/>
  <c r="G261" i="3"/>
  <c r="I261" i="3" l="1"/>
  <c r="J261" i="3"/>
  <c r="M261" i="3"/>
  <c r="N261" i="3" s="1"/>
  <c r="V261" i="3"/>
  <c r="A262" i="3"/>
  <c r="B262" i="3" s="1"/>
  <c r="W261" i="3" l="1"/>
  <c r="L261" i="3"/>
  <c r="AA262" i="3"/>
  <c r="Z262" i="3"/>
  <c r="P262" i="3"/>
  <c r="Q262" i="3" s="1"/>
  <c r="R262" i="3" s="1"/>
  <c r="S262" i="3" s="1"/>
  <c r="AC262" i="3"/>
  <c r="AD262" i="3"/>
  <c r="T262" i="3" l="1"/>
  <c r="AG262" i="3" s="1"/>
  <c r="U261" i="3"/>
  <c r="Y260" i="3"/>
  <c r="E262" i="3" l="1"/>
  <c r="H262" i="3" s="1"/>
  <c r="K262" i="3" s="1"/>
  <c r="AE262" i="3" s="1"/>
  <c r="AH262" i="3"/>
  <c r="D262" i="3"/>
  <c r="F262" i="3" l="1"/>
  <c r="G262" i="3"/>
  <c r="V262" i="3"/>
  <c r="A263" i="3"/>
  <c r="B263" i="3" s="1"/>
  <c r="P263" i="3" l="1"/>
  <c r="Q263" i="3" s="1"/>
  <c r="R263" i="3" s="1"/>
  <c r="S263" i="3" s="1"/>
  <c r="AA263" i="3"/>
  <c r="Z263" i="3"/>
  <c r="AD263" i="3"/>
  <c r="AC263" i="3"/>
  <c r="I262" i="3"/>
  <c r="W262" i="3" s="1"/>
  <c r="J262" i="3"/>
  <c r="M262" i="3"/>
  <c r="N262" i="3" s="1"/>
  <c r="L262" i="3" l="1"/>
  <c r="T263" i="3"/>
  <c r="U262" i="3" l="1"/>
  <c r="E263" i="3" s="1"/>
  <c r="H263" i="3" s="1"/>
  <c r="AH263" i="3"/>
  <c r="AG263" i="3"/>
  <c r="Y261" i="3"/>
  <c r="D263" i="3" l="1"/>
  <c r="G263" i="3" s="1"/>
  <c r="K263" i="3"/>
  <c r="AE263" i="3" s="1"/>
  <c r="F263" i="3" l="1"/>
  <c r="V263" i="3"/>
  <c r="A264" i="3"/>
  <c r="B264" i="3" s="1"/>
  <c r="I263" i="3"/>
  <c r="J263" i="3"/>
  <c r="M263" i="3"/>
  <c r="N263" i="3" s="1"/>
  <c r="W263" i="3" l="1"/>
  <c r="L263" i="3"/>
  <c r="P264" i="3"/>
  <c r="Q264" i="3" s="1"/>
  <c r="R264" i="3" s="1"/>
  <c r="S264" i="3" s="1"/>
  <c r="AA264" i="3"/>
  <c r="AC264" i="3"/>
  <c r="Z264" i="3"/>
  <c r="U263" i="3" l="1"/>
  <c r="Y262" i="3"/>
  <c r="T264" i="3"/>
  <c r="AH264" i="3" s="1"/>
  <c r="AG264" i="3" l="1"/>
  <c r="D264" i="3"/>
  <c r="G264" i="3" s="1"/>
  <c r="E264" i="3"/>
  <c r="H264" i="3" s="1"/>
  <c r="K264" i="3" l="1"/>
  <c r="AE264" i="3" s="1"/>
  <c r="I264" i="3"/>
  <c r="J264" i="3"/>
  <c r="AD264" i="3" s="1"/>
  <c r="M264" i="3"/>
  <c r="N264" i="3" s="1"/>
  <c r="F264" i="3"/>
  <c r="L264" i="3" l="1"/>
  <c r="V264" i="3"/>
  <c r="W264" i="3" s="1"/>
  <c r="A265" i="3"/>
  <c r="B265" i="3" s="1"/>
  <c r="U264" i="3" l="1"/>
  <c r="Y263" i="3"/>
  <c r="P265" i="3"/>
  <c r="Q265" i="3" s="1"/>
  <c r="R265" i="3" s="1"/>
  <c r="S265" i="3" s="1"/>
  <c r="AA265" i="3"/>
  <c r="AD265" i="3"/>
  <c r="Z265" i="3"/>
  <c r="AC265" i="3"/>
  <c r="T265" i="3" l="1"/>
  <c r="AG265" i="3" l="1"/>
  <c r="AH265" i="3"/>
  <c r="D265" i="3"/>
  <c r="E265" i="3"/>
  <c r="H265" i="3" s="1"/>
  <c r="F265" i="3" l="1"/>
  <c r="G265" i="3"/>
  <c r="K265" i="3"/>
  <c r="AE265" i="3" s="1"/>
  <c r="I265" i="3" l="1"/>
  <c r="J265" i="3"/>
  <c r="M265" i="3"/>
  <c r="N265" i="3" s="1"/>
  <c r="V265" i="3"/>
  <c r="A266" i="3"/>
  <c r="B266" i="3" s="1"/>
  <c r="L265" i="3" l="1"/>
  <c r="W265" i="3"/>
  <c r="P266" i="3"/>
  <c r="Q266" i="3" s="1"/>
  <c r="R266" i="3" s="1"/>
  <c r="S266" i="3" s="1"/>
  <c r="AC266" i="3"/>
  <c r="Z266" i="3"/>
  <c r="AA266" i="3"/>
  <c r="AD266" i="3"/>
  <c r="T266" i="3" l="1"/>
  <c r="U265" i="3"/>
  <c r="Y264" i="3"/>
  <c r="E266" i="3" l="1"/>
  <c r="H266" i="3" s="1"/>
  <c r="K266" i="3" s="1"/>
  <c r="AE266" i="3" s="1"/>
  <c r="AH266" i="3"/>
  <c r="AG266" i="3"/>
  <c r="D266" i="3"/>
  <c r="V266" i="3" l="1"/>
  <c r="A267" i="3"/>
  <c r="B267" i="3" s="1"/>
  <c r="F266" i="3"/>
  <c r="G266" i="3"/>
  <c r="I266" i="3" l="1"/>
  <c r="W266" i="3" s="1"/>
  <c r="J266" i="3"/>
  <c r="M266" i="3"/>
  <c r="N266" i="3" s="1"/>
  <c r="AC267" i="3"/>
  <c r="P267" i="3"/>
  <c r="Q267" i="3" s="1"/>
  <c r="R267" i="3" s="1"/>
  <c r="S267" i="3" s="1"/>
  <c r="AA267" i="3"/>
  <c r="Z267" i="3"/>
  <c r="AD267" i="3"/>
  <c r="T267" i="3" l="1"/>
  <c r="L266" i="3"/>
  <c r="AH267" i="3" l="1"/>
  <c r="AG267" i="3"/>
  <c r="U266" i="3"/>
  <c r="E267" i="3" s="1"/>
  <c r="H267" i="3" s="1"/>
  <c r="Y265" i="3"/>
  <c r="K267" i="3" l="1"/>
  <c r="AE267" i="3" s="1"/>
  <c r="D267" i="3"/>
  <c r="V267" i="3" l="1"/>
  <c r="A268" i="3"/>
  <c r="B268" i="3" s="1"/>
  <c r="F267" i="3"/>
  <c r="G267" i="3"/>
  <c r="I267" i="3" l="1"/>
  <c r="W267" i="3" s="1"/>
  <c r="J267" i="3"/>
  <c r="M267" i="3"/>
  <c r="N267" i="3" s="1"/>
  <c r="AC268" i="3"/>
  <c r="P268" i="3"/>
  <c r="Q268" i="3" s="1"/>
  <c r="R268" i="3" s="1"/>
  <c r="S268" i="3" s="1"/>
  <c r="Z268" i="3"/>
  <c r="AA268" i="3"/>
  <c r="AD268" i="3"/>
  <c r="T268" i="3" l="1"/>
  <c r="L267" i="3"/>
  <c r="U267" i="3" l="1"/>
  <c r="E268" i="3" s="1"/>
  <c r="H268" i="3" s="1"/>
  <c r="AH268" i="3"/>
  <c r="AG268" i="3"/>
  <c r="Y266" i="3"/>
  <c r="K268" i="3" l="1"/>
  <c r="AE268" i="3" s="1"/>
  <c r="D268" i="3"/>
  <c r="V268" i="3" l="1"/>
  <c r="A269" i="3"/>
  <c r="B269" i="3" s="1"/>
  <c r="F268" i="3"/>
  <c r="G268" i="3"/>
  <c r="I268" i="3" l="1"/>
  <c r="W268" i="3" s="1"/>
  <c r="J268" i="3"/>
  <c r="M268" i="3"/>
  <c r="N268" i="3" s="1"/>
  <c r="AD269" i="3"/>
  <c r="P269" i="3"/>
  <c r="Q269" i="3" s="1"/>
  <c r="R269" i="3" s="1"/>
  <c r="S269" i="3" s="1"/>
  <c r="AA269" i="3"/>
  <c r="Z269" i="3"/>
  <c r="AC269" i="3"/>
  <c r="T269" i="3" l="1"/>
  <c r="L268" i="3"/>
  <c r="U268" i="3" l="1"/>
  <c r="D269" i="3" s="1"/>
  <c r="AH269" i="3"/>
  <c r="AG269" i="3"/>
  <c r="Y267" i="3"/>
  <c r="G269" i="3" l="1"/>
  <c r="E269" i="3"/>
  <c r="H269" i="3" s="1"/>
  <c r="F269" i="3" l="1"/>
  <c r="I269" i="3"/>
  <c r="J269" i="3"/>
  <c r="M269" i="3"/>
  <c r="N269" i="3" s="1"/>
  <c r="K269" i="3"/>
  <c r="AE269" i="3" s="1"/>
  <c r="V269" i="3" l="1"/>
  <c r="W269" i="3" s="1"/>
  <c r="A270" i="3"/>
  <c r="B270" i="3" s="1"/>
  <c r="L269" i="3"/>
  <c r="U269" i="3" l="1"/>
  <c r="Y268" i="3"/>
  <c r="AA270" i="3"/>
  <c r="Z270" i="3"/>
  <c r="P270" i="3"/>
  <c r="Q270" i="3" s="1"/>
  <c r="R270" i="3" s="1"/>
  <c r="S270" i="3" s="1"/>
  <c r="AC270" i="3"/>
  <c r="AD270" i="3"/>
  <c r="T270" i="3" l="1"/>
  <c r="AG270" i="3" s="1"/>
  <c r="AH270" i="3" l="1"/>
  <c r="E270" i="3"/>
  <c r="H270" i="3" s="1"/>
  <c r="K270" i="3" s="1"/>
  <c r="AE270" i="3" s="1"/>
  <c r="D270" i="3"/>
  <c r="G270" i="3" s="1"/>
  <c r="F270" i="3" l="1"/>
  <c r="V270" i="3"/>
  <c r="A271" i="3"/>
  <c r="B271" i="3" s="1"/>
  <c r="I270" i="3"/>
  <c r="J270" i="3"/>
  <c r="M270" i="3"/>
  <c r="N270" i="3" s="1"/>
  <c r="L270" i="3" l="1"/>
  <c r="Z271" i="3"/>
  <c r="AA271" i="3"/>
  <c r="P271" i="3"/>
  <c r="Q271" i="3" s="1"/>
  <c r="R271" i="3" s="1"/>
  <c r="S271" i="3" s="1"/>
  <c r="AC271" i="3"/>
  <c r="AD271" i="3"/>
  <c r="W270" i="3"/>
  <c r="U270" i="3" l="1"/>
  <c r="Y269" i="3"/>
  <c r="T271" i="3"/>
  <c r="AH271" i="3" s="1"/>
  <c r="AG271" i="3" l="1"/>
  <c r="D271" i="3"/>
  <c r="E271" i="3"/>
  <c r="H271" i="3" s="1"/>
  <c r="K271" i="3" l="1"/>
  <c r="AE271" i="3" s="1"/>
  <c r="F271" i="3"/>
  <c r="G271" i="3"/>
  <c r="I271" i="3" l="1"/>
  <c r="J271" i="3"/>
  <c r="M271" i="3"/>
  <c r="N271" i="3" s="1"/>
  <c r="V271" i="3"/>
  <c r="A272" i="3"/>
  <c r="B272" i="3" s="1"/>
  <c r="W271" i="3" l="1"/>
  <c r="L271" i="3"/>
  <c r="AD272" i="3"/>
  <c r="Z272" i="3"/>
  <c r="AA272" i="3"/>
  <c r="P272" i="3"/>
  <c r="Q272" i="3" s="1"/>
  <c r="R272" i="3" s="1"/>
  <c r="S272" i="3" s="1"/>
  <c r="AC272" i="3"/>
  <c r="T272" i="3" l="1"/>
  <c r="U271" i="3"/>
  <c r="Y270" i="3"/>
  <c r="D272" i="3" l="1"/>
  <c r="G272" i="3" s="1"/>
  <c r="E272" i="3"/>
  <c r="H272" i="3" s="1"/>
  <c r="K272" i="3" s="1"/>
  <c r="AE272" i="3" s="1"/>
  <c r="AG272" i="3"/>
  <c r="AH272" i="3"/>
  <c r="F272" i="3" l="1"/>
  <c r="I272" i="3"/>
  <c r="J272" i="3"/>
  <c r="M272" i="3"/>
  <c r="N272" i="3" s="1"/>
  <c r="V272" i="3"/>
  <c r="A273" i="3"/>
  <c r="B273" i="3" s="1"/>
  <c r="W272" i="3" l="1"/>
  <c r="L272" i="3"/>
  <c r="AA273" i="3"/>
  <c r="P273" i="3"/>
  <c r="Q273" i="3" s="1"/>
  <c r="R273" i="3" s="1"/>
  <c r="S273" i="3" s="1"/>
  <c r="Z273" i="3"/>
  <c r="AC273" i="3"/>
  <c r="AD273" i="3"/>
  <c r="T273" i="3" l="1"/>
  <c r="AG273" i="3" s="1"/>
  <c r="U272" i="3"/>
  <c r="Y271" i="3"/>
  <c r="D273" i="3" l="1"/>
  <c r="G273" i="3" s="1"/>
  <c r="AH273" i="3"/>
  <c r="E273" i="3"/>
  <c r="H273" i="3" s="1"/>
  <c r="F273" i="3" l="1"/>
  <c r="I273" i="3"/>
  <c r="J273" i="3"/>
  <c r="M273" i="3"/>
  <c r="N273" i="3" s="1"/>
  <c r="K273" i="3"/>
  <c r="AE273" i="3" s="1"/>
  <c r="L273" i="3" l="1"/>
  <c r="V273" i="3"/>
  <c r="W273" i="3" s="1"/>
  <c r="A274" i="3"/>
  <c r="B274" i="3" s="1"/>
  <c r="P274" i="3" l="1"/>
  <c r="Q274" i="3" s="1"/>
  <c r="R274" i="3" s="1"/>
  <c r="S274" i="3" s="1"/>
  <c r="AC274" i="3"/>
  <c r="Z274" i="3"/>
  <c r="AA274" i="3"/>
  <c r="U273" i="3"/>
  <c r="Y272" i="3"/>
  <c r="T274" i="3" l="1"/>
  <c r="AG274" i="3" s="1"/>
  <c r="D274" i="3" l="1"/>
  <c r="G274" i="3" s="1"/>
  <c r="AH274" i="3"/>
  <c r="E274" i="3"/>
  <c r="H274" i="3" s="1"/>
  <c r="I274" i="3" l="1"/>
  <c r="J274" i="3"/>
  <c r="AD274" i="3" s="1"/>
  <c r="M274" i="3"/>
  <c r="N274" i="3" s="1"/>
  <c r="K274" i="3"/>
  <c r="AE274" i="3" s="1"/>
  <c r="F274" i="3"/>
  <c r="L274" i="3" l="1"/>
  <c r="V274" i="3"/>
  <c r="W274" i="3" s="1"/>
  <c r="A275" i="3"/>
  <c r="B275" i="3" s="1"/>
  <c r="U274" i="3" l="1"/>
  <c r="Y273" i="3"/>
  <c r="AA275" i="3"/>
  <c r="P275" i="3"/>
  <c r="Q275" i="3" s="1"/>
  <c r="R275" i="3" s="1"/>
  <c r="S275" i="3" s="1"/>
  <c r="AD275" i="3"/>
  <c r="Z275" i="3"/>
  <c r="AC275" i="3"/>
  <c r="T275" i="3" l="1"/>
  <c r="AH275" i="3" s="1"/>
  <c r="E275" i="3" l="1"/>
  <c r="H275" i="3" s="1"/>
  <c r="AG275" i="3"/>
  <c r="D275" i="3"/>
  <c r="F275" i="3" l="1"/>
  <c r="G275" i="3"/>
  <c r="K275" i="3"/>
  <c r="AE275" i="3" s="1"/>
  <c r="I275" i="3" l="1"/>
  <c r="J275" i="3"/>
  <c r="M275" i="3"/>
  <c r="N275" i="3" s="1"/>
  <c r="V275" i="3"/>
  <c r="A276" i="3"/>
  <c r="B276" i="3" s="1"/>
  <c r="W275" i="3" l="1"/>
  <c r="L275" i="3"/>
  <c r="AA276" i="3"/>
  <c r="Z276" i="3"/>
  <c r="P276" i="3"/>
  <c r="Q276" i="3" s="1"/>
  <c r="R276" i="3" s="1"/>
  <c r="S276" i="3" s="1"/>
  <c r="AC276" i="3"/>
  <c r="AD276" i="3"/>
  <c r="U275" i="3" l="1"/>
  <c r="Y274" i="3"/>
  <c r="T276" i="3"/>
  <c r="AH276" i="3" s="1"/>
  <c r="D276" i="3" l="1"/>
  <c r="AG276" i="3"/>
  <c r="E276" i="3"/>
  <c r="H276" i="3" s="1"/>
  <c r="F276" i="3" l="1"/>
  <c r="G276" i="3"/>
  <c r="K276" i="3"/>
  <c r="AE276" i="3" s="1"/>
  <c r="I276" i="3" l="1"/>
  <c r="J276" i="3"/>
  <c r="M276" i="3"/>
  <c r="N276" i="3" s="1"/>
  <c r="V276" i="3"/>
  <c r="A277" i="3"/>
  <c r="B277" i="3" s="1"/>
  <c r="W276" i="3" l="1"/>
  <c r="L276" i="3"/>
  <c r="P277" i="3"/>
  <c r="Q277" i="3" s="1"/>
  <c r="R277" i="3" s="1"/>
  <c r="S277" i="3" s="1"/>
  <c r="AC277" i="3"/>
  <c r="Z277" i="3"/>
  <c r="AD277" i="3"/>
  <c r="AA277" i="3"/>
  <c r="U276" i="3" l="1"/>
  <c r="Y275" i="3"/>
  <c r="T277" i="3"/>
  <c r="AG277" i="3" s="1"/>
  <c r="D277" i="3" l="1"/>
  <c r="G277" i="3" s="1"/>
  <c r="E277" i="3"/>
  <c r="H277" i="3" s="1"/>
  <c r="K277" i="3" s="1"/>
  <c r="AE277" i="3" s="1"/>
  <c r="AH277" i="3"/>
  <c r="F277" i="3" l="1"/>
  <c r="V277" i="3"/>
  <c r="A278" i="3"/>
  <c r="B278" i="3" s="1"/>
  <c r="I277" i="3"/>
  <c r="J277" i="3"/>
  <c r="M277" i="3"/>
  <c r="N277" i="3" s="1"/>
  <c r="W277" i="3" l="1"/>
  <c r="L277" i="3"/>
  <c r="AD278" i="3"/>
  <c r="AC278" i="3"/>
  <c r="Z278" i="3"/>
  <c r="P278" i="3"/>
  <c r="Q278" i="3" s="1"/>
  <c r="R278" i="3" s="1"/>
  <c r="S278" i="3" s="1"/>
  <c r="AA278" i="3"/>
  <c r="T278" i="3" l="1"/>
  <c r="U277" i="3"/>
  <c r="Y276" i="3"/>
  <c r="E278" i="3" l="1"/>
  <c r="H278" i="3" s="1"/>
  <c r="K278" i="3" s="1"/>
  <c r="AE278" i="3" s="1"/>
  <c r="D278" i="3"/>
  <c r="AH278" i="3"/>
  <c r="AG278" i="3"/>
  <c r="V278" i="3" l="1"/>
  <c r="A279" i="3"/>
  <c r="B279" i="3" s="1"/>
  <c r="F278" i="3"/>
  <c r="G278" i="3"/>
  <c r="I278" i="3" l="1"/>
  <c r="W278" i="3" s="1"/>
  <c r="J278" i="3"/>
  <c r="M278" i="3"/>
  <c r="N278" i="3" s="1"/>
  <c r="P279" i="3"/>
  <c r="Q279" i="3" s="1"/>
  <c r="R279" i="3" s="1"/>
  <c r="S279" i="3" s="1"/>
  <c r="AA279" i="3"/>
  <c r="AD279" i="3"/>
  <c r="Z279" i="3"/>
  <c r="AC279" i="3"/>
  <c r="T279" i="3" l="1"/>
  <c r="L278" i="3"/>
  <c r="U278" i="3" l="1"/>
  <c r="D279" i="3" s="1"/>
  <c r="AG279" i="3"/>
  <c r="AH279" i="3"/>
  <c r="Y277" i="3"/>
  <c r="G279" i="3" l="1"/>
  <c r="E279" i="3"/>
  <c r="H279" i="3" s="1"/>
  <c r="I279" i="3" l="1"/>
  <c r="J279" i="3"/>
  <c r="M279" i="3"/>
  <c r="N279" i="3" s="1"/>
  <c r="F279" i="3"/>
  <c r="K279" i="3"/>
  <c r="AE279" i="3" s="1"/>
  <c r="V279" i="3" l="1"/>
  <c r="W279" i="3" s="1"/>
  <c r="A280" i="3"/>
  <c r="B280" i="3" s="1"/>
  <c r="L279" i="3"/>
  <c r="U279" i="3" l="1"/>
  <c r="Y278" i="3"/>
  <c r="AA280" i="3"/>
  <c r="P280" i="3"/>
  <c r="Q280" i="3" s="1"/>
  <c r="R280" i="3" s="1"/>
  <c r="S280" i="3" s="1"/>
  <c r="AD280" i="3"/>
  <c r="AC280" i="3"/>
  <c r="Z280" i="3"/>
  <c r="T280" i="3" l="1"/>
  <c r="AH280" i="3" s="1"/>
  <c r="D280" i="3" l="1"/>
  <c r="G280" i="3" s="1"/>
  <c r="E280" i="3"/>
  <c r="H280" i="3" s="1"/>
  <c r="K280" i="3" s="1"/>
  <c r="AE280" i="3" s="1"/>
  <c r="AG280" i="3"/>
  <c r="F280" i="3" l="1"/>
  <c r="I280" i="3"/>
  <c r="J280" i="3"/>
  <c r="M280" i="3"/>
  <c r="N280" i="3" s="1"/>
  <c r="V280" i="3"/>
  <c r="A281" i="3"/>
  <c r="B281" i="3" s="1"/>
  <c r="L280" i="3" l="1"/>
  <c r="W280" i="3"/>
  <c r="AC281" i="3"/>
  <c r="AA281" i="3"/>
  <c r="P281" i="3"/>
  <c r="Q281" i="3" s="1"/>
  <c r="R281" i="3" s="1"/>
  <c r="S281" i="3" s="1"/>
  <c r="AD281" i="3"/>
  <c r="Z281" i="3"/>
  <c r="T281" i="3" l="1"/>
  <c r="AG281" i="3" s="1"/>
  <c r="U280" i="3"/>
  <c r="Y279" i="3"/>
  <c r="D281" i="3" l="1"/>
  <c r="E281" i="3"/>
  <c r="H281" i="3" s="1"/>
  <c r="AH281" i="3"/>
  <c r="F281" i="3" l="1"/>
  <c r="G281" i="3"/>
  <c r="K281" i="3"/>
  <c r="AE281" i="3" s="1"/>
  <c r="I281" i="3" l="1"/>
  <c r="J281" i="3"/>
  <c r="M281" i="3"/>
  <c r="N281" i="3" s="1"/>
  <c r="V281" i="3"/>
  <c r="A282" i="3"/>
  <c r="B282" i="3" s="1"/>
  <c r="W281" i="3" l="1"/>
  <c r="L281" i="3"/>
  <c r="AC282" i="3"/>
  <c r="Z282" i="3"/>
  <c r="AD282" i="3"/>
  <c r="P282" i="3"/>
  <c r="Q282" i="3" s="1"/>
  <c r="R282" i="3" s="1"/>
  <c r="S282" i="3" s="1"/>
  <c r="AA282" i="3"/>
  <c r="U281" i="3" l="1"/>
  <c r="Y280" i="3"/>
  <c r="T282" i="3"/>
  <c r="D282" i="3" l="1"/>
  <c r="G282" i="3" s="1"/>
  <c r="E282" i="3"/>
  <c r="H282" i="3" s="1"/>
  <c r="AH282" i="3"/>
  <c r="AG282" i="3"/>
  <c r="F282" i="3" l="1"/>
  <c r="I282" i="3"/>
  <c r="J282" i="3"/>
  <c r="M282" i="3"/>
  <c r="N282" i="3" s="1"/>
  <c r="K282" i="3"/>
  <c r="AE282" i="3" s="1"/>
  <c r="V282" i="3" l="1"/>
  <c r="W282" i="3" s="1"/>
  <c r="A283" i="3"/>
  <c r="B283" i="3" s="1"/>
  <c r="L282" i="3"/>
  <c r="U282" i="3" l="1"/>
  <c r="Y281" i="3"/>
  <c r="Z283" i="3"/>
  <c r="AC283" i="3"/>
  <c r="AD283" i="3"/>
  <c r="P283" i="3"/>
  <c r="Q283" i="3" s="1"/>
  <c r="R283" i="3" s="1"/>
  <c r="S283" i="3" s="1"/>
  <c r="AA283" i="3"/>
  <c r="T283" i="3" l="1"/>
  <c r="AH283" i="3" s="1"/>
  <c r="AG283" i="3" l="1"/>
  <c r="E283" i="3"/>
  <c r="H283" i="3" s="1"/>
  <c r="K283" i="3" s="1"/>
  <c r="AE283" i="3" s="1"/>
  <c r="D283" i="3"/>
  <c r="F283" i="3" l="1"/>
  <c r="G283" i="3"/>
  <c r="J283" i="3" s="1"/>
  <c r="V283" i="3"/>
  <c r="A284" i="3"/>
  <c r="B284" i="3" s="1"/>
  <c r="M283" i="3" l="1"/>
  <c r="N283" i="3" s="1"/>
  <c r="I283" i="3"/>
  <c r="W283" i="3" s="1"/>
  <c r="L283" i="3"/>
  <c r="AC284" i="3"/>
  <c r="AA284" i="3"/>
  <c r="P284" i="3"/>
  <c r="Q284" i="3" s="1"/>
  <c r="R284" i="3" s="1"/>
  <c r="S284" i="3" s="1"/>
  <c r="Z284" i="3"/>
  <c r="T284" i="3" l="1"/>
  <c r="AH284" i="3" s="1"/>
  <c r="U283" i="3"/>
  <c r="Y282" i="3"/>
  <c r="AG284" i="3" l="1"/>
  <c r="D284" i="3"/>
  <c r="E284" i="3"/>
  <c r="H284" i="3" s="1"/>
  <c r="F284" i="3" l="1"/>
  <c r="G284" i="3"/>
  <c r="K284" i="3"/>
  <c r="AE284" i="3" s="1"/>
  <c r="V284" i="3" l="1"/>
  <c r="A285" i="3"/>
  <c r="B285" i="3" s="1"/>
  <c r="I284" i="3"/>
  <c r="J284" i="3"/>
  <c r="AD284" i="3" s="1"/>
  <c r="M284" i="3"/>
  <c r="N284" i="3" s="1"/>
  <c r="W284" i="3" l="1"/>
  <c r="L284" i="3"/>
  <c r="AA285" i="3"/>
  <c r="P285" i="3"/>
  <c r="Q285" i="3" s="1"/>
  <c r="R285" i="3" s="1"/>
  <c r="S285" i="3" s="1"/>
  <c r="Z285" i="3"/>
  <c r="AC285" i="3"/>
  <c r="U284" i="3" l="1"/>
  <c r="Y283" i="3"/>
  <c r="T285" i="3"/>
  <c r="E285" i="3" l="1"/>
  <c r="H285" i="3" s="1"/>
  <c r="K285" i="3" s="1"/>
  <c r="AE285" i="3" s="1"/>
  <c r="AH285" i="3"/>
  <c r="D285" i="3"/>
  <c r="G285" i="3" s="1"/>
  <c r="AG285" i="3"/>
  <c r="F285" i="3" l="1"/>
  <c r="V285" i="3"/>
  <c r="A286" i="3"/>
  <c r="B286" i="3" s="1"/>
  <c r="I285" i="3"/>
  <c r="J285" i="3"/>
  <c r="AD285" i="3" s="1"/>
  <c r="M285" i="3"/>
  <c r="N285" i="3" s="1"/>
  <c r="W285" i="3" l="1"/>
  <c r="L285" i="3"/>
  <c r="AA286" i="3"/>
  <c r="P286" i="3"/>
  <c r="Q286" i="3" s="1"/>
  <c r="R286" i="3" s="1"/>
  <c r="S286" i="3" s="1"/>
  <c r="AC286" i="3"/>
  <c r="Z286" i="3"/>
  <c r="T286" i="3" l="1"/>
  <c r="AH286" i="3" s="1"/>
  <c r="U285" i="3"/>
  <c r="Y284" i="3"/>
  <c r="D286" i="3" l="1"/>
  <c r="G286" i="3" s="1"/>
  <c r="AG286" i="3"/>
  <c r="E286" i="3"/>
  <c r="H286" i="3" s="1"/>
  <c r="F286" i="3" l="1"/>
  <c r="I286" i="3"/>
  <c r="J286" i="3"/>
  <c r="AD286" i="3" s="1"/>
  <c r="M286" i="3"/>
  <c r="N286" i="3" s="1"/>
  <c r="K286" i="3"/>
  <c r="AE286" i="3" s="1"/>
  <c r="V286" i="3" l="1"/>
  <c r="W286" i="3" s="1"/>
  <c r="A287" i="3"/>
  <c r="B287" i="3" s="1"/>
  <c r="L286" i="3"/>
  <c r="U286" i="3" l="1"/>
  <c r="Y285" i="3"/>
  <c r="P287" i="3"/>
  <c r="Q287" i="3" s="1"/>
  <c r="R287" i="3" s="1"/>
  <c r="S287" i="3" s="1"/>
  <c r="AA287" i="3"/>
  <c r="Z287" i="3"/>
  <c r="AC287" i="3"/>
  <c r="T287" i="3" l="1"/>
  <c r="D287" i="3" s="1"/>
  <c r="G287" i="3" l="1"/>
  <c r="AH287" i="3"/>
  <c r="AG287" i="3"/>
  <c r="E287" i="3"/>
  <c r="H287" i="3" s="1"/>
  <c r="F287" i="3" l="1"/>
  <c r="K287" i="3"/>
  <c r="AE287" i="3" s="1"/>
  <c r="I287" i="3"/>
  <c r="J287" i="3"/>
  <c r="AD287" i="3" s="1"/>
  <c r="M287" i="3"/>
  <c r="N287" i="3" s="1"/>
  <c r="L287" i="3" l="1"/>
  <c r="V287" i="3"/>
  <c r="W287" i="3" s="1"/>
  <c r="A288" i="3"/>
  <c r="B288" i="3" s="1"/>
  <c r="U287" i="3" l="1"/>
  <c r="Y286" i="3"/>
  <c r="P288" i="3"/>
  <c r="Q288" i="3" s="1"/>
  <c r="R288" i="3" s="1"/>
  <c r="S288" i="3" s="1"/>
  <c r="AA288" i="3"/>
  <c r="AC288" i="3"/>
  <c r="Z288" i="3"/>
  <c r="T288" i="3" l="1"/>
  <c r="D288" i="3" s="1"/>
  <c r="AG288" i="3" l="1"/>
  <c r="AH288" i="3"/>
  <c r="E288" i="3"/>
  <c r="H288" i="3" s="1"/>
  <c r="K288" i="3" s="1"/>
  <c r="AE288" i="3" s="1"/>
  <c r="G288" i="3"/>
  <c r="F288" i="3" l="1"/>
  <c r="I288" i="3"/>
  <c r="J288" i="3"/>
  <c r="AD288" i="3" s="1"/>
  <c r="M288" i="3"/>
  <c r="N288" i="3" s="1"/>
  <c r="V288" i="3"/>
  <c r="A289" i="3"/>
  <c r="B289" i="3" s="1"/>
  <c r="W288" i="3" l="1"/>
  <c r="L288" i="3"/>
  <c r="P289" i="3"/>
  <c r="Q289" i="3" s="1"/>
  <c r="R289" i="3" s="1"/>
  <c r="S289" i="3" s="1"/>
  <c r="AA289" i="3"/>
  <c r="AC289" i="3"/>
  <c r="Z289" i="3"/>
  <c r="T289" i="3" l="1"/>
  <c r="U288" i="3"/>
  <c r="Y287" i="3"/>
  <c r="E289" i="3" l="1"/>
  <c r="H289" i="3" s="1"/>
  <c r="K289" i="3" s="1"/>
  <c r="AE289" i="3" s="1"/>
  <c r="AH289" i="3"/>
  <c r="AG289" i="3"/>
  <c r="D289" i="3"/>
  <c r="V289" i="3" l="1"/>
  <c r="A290" i="3"/>
  <c r="B290" i="3" s="1"/>
  <c r="F289" i="3"/>
  <c r="G289" i="3"/>
  <c r="I289" i="3" l="1"/>
  <c r="W289" i="3" s="1"/>
  <c r="J289" i="3"/>
  <c r="AD289" i="3" s="1"/>
  <c r="M289" i="3"/>
  <c r="N289" i="3" s="1"/>
  <c r="AA290" i="3"/>
  <c r="AC290" i="3"/>
  <c r="Z290" i="3"/>
  <c r="P290" i="3"/>
  <c r="Q290" i="3" s="1"/>
  <c r="R290" i="3" s="1"/>
  <c r="S290" i="3" s="1"/>
  <c r="T290" i="3" l="1"/>
  <c r="L289" i="3"/>
  <c r="U289" i="3" l="1"/>
  <c r="E290" i="3" s="1"/>
  <c r="H290" i="3" s="1"/>
  <c r="AH290" i="3"/>
  <c r="AG290" i="3"/>
  <c r="Y288" i="3"/>
  <c r="D290" i="3" l="1"/>
  <c r="G290" i="3" s="1"/>
  <c r="K290" i="3"/>
  <c r="AE290" i="3" s="1"/>
  <c r="F290" i="3" l="1"/>
  <c r="I290" i="3"/>
  <c r="J290" i="3"/>
  <c r="AD290" i="3" s="1"/>
  <c r="M290" i="3"/>
  <c r="N290" i="3" s="1"/>
  <c r="V290" i="3"/>
  <c r="A291" i="3"/>
  <c r="B291" i="3" s="1"/>
  <c r="L290" i="3" l="1"/>
  <c r="W290" i="3"/>
  <c r="P291" i="3"/>
  <c r="Q291" i="3" s="1"/>
  <c r="R291" i="3" s="1"/>
  <c r="S291" i="3" s="1"/>
  <c r="Z291" i="3"/>
  <c r="AA291" i="3"/>
  <c r="AC291" i="3"/>
  <c r="U290" i="3" l="1"/>
  <c r="Y289" i="3"/>
  <c r="T291" i="3"/>
  <c r="AG291" i="3" s="1"/>
  <c r="D291" i="3" l="1"/>
  <c r="E291" i="3"/>
  <c r="H291" i="3" s="1"/>
  <c r="AH291" i="3"/>
  <c r="K291" i="3" l="1"/>
  <c r="AE291" i="3" s="1"/>
  <c r="F291" i="3"/>
  <c r="G291" i="3"/>
  <c r="I291" i="3" l="1"/>
  <c r="J291" i="3"/>
  <c r="AD291" i="3" s="1"/>
  <c r="M291" i="3"/>
  <c r="N291" i="3" s="1"/>
  <c r="V291" i="3"/>
  <c r="A292" i="3"/>
  <c r="B292" i="3" s="1"/>
  <c r="W291" i="3" l="1"/>
  <c r="L291" i="3"/>
  <c r="Z292" i="3"/>
  <c r="AC292" i="3"/>
  <c r="AA292" i="3"/>
  <c r="P292" i="3"/>
  <c r="Q292" i="3" s="1"/>
  <c r="R292" i="3" s="1"/>
  <c r="S292" i="3" s="1"/>
  <c r="U291" i="3" l="1"/>
  <c r="Y290" i="3"/>
  <c r="T292" i="3"/>
  <c r="E292" i="3" l="1"/>
  <c r="H292" i="3" s="1"/>
  <c r="K292" i="3" s="1"/>
  <c r="AE292" i="3" s="1"/>
  <c r="D292" i="3"/>
  <c r="AG292" i="3"/>
  <c r="AH292" i="3"/>
  <c r="V292" i="3" l="1"/>
  <c r="A293" i="3"/>
  <c r="B293" i="3" s="1"/>
  <c r="F292" i="3"/>
  <c r="G292" i="3"/>
  <c r="I292" i="3" l="1"/>
  <c r="W292" i="3" s="1"/>
  <c r="J292" i="3"/>
  <c r="AD292" i="3" s="1"/>
  <c r="M292" i="3"/>
  <c r="N292" i="3" s="1"/>
  <c r="Z293" i="3"/>
  <c r="AC293" i="3"/>
  <c r="P293" i="3"/>
  <c r="Q293" i="3" s="1"/>
  <c r="R293" i="3" s="1"/>
  <c r="S293" i="3" s="1"/>
  <c r="AA293" i="3"/>
  <c r="L292" i="3" l="1"/>
  <c r="T293" i="3"/>
  <c r="U292" i="3" l="1"/>
  <c r="E293" i="3" s="1"/>
  <c r="H293" i="3" s="1"/>
  <c r="AH293" i="3"/>
  <c r="AG293" i="3"/>
  <c r="Y291" i="3"/>
  <c r="K293" i="3" l="1"/>
  <c r="AE293" i="3" s="1"/>
  <c r="D293" i="3"/>
  <c r="V293" i="3" l="1"/>
  <c r="A294" i="3"/>
  <c r="B294" i="3" s="1"/>
  <c r="F293" i="3"/>
  <c r="G293" i="3"/>
  <c r="I293" i="3" l="1"/>
  <c r="W293" i="3" s="1"/>
  <c r="J293" i="3"/>
  <c r="AD293" i="3" s="1"/>
  <c r="M293" i="3"/>
  <c r="N293" i="3" s="1"/>
  <c r="AA294" i="3"/>
  <c r="P294" i="3"/>
  <c r="Q294" i="3" s="1"/>
  <c r="R294" i="3" s="1"/>
  <c r="S294" i="3" s="1"/>
  <c r="Z294" i="3"/>
  <c r="AC294" i="3"/>
  <c r="L293" i="3" l="1"/>
  <c r="T294" i="3"/>
  <c r="AG294" i="3" l="1"/>
  <c r="U293" i="3"/>
  <c r="E294" i="3" s="1"/>
  <c r="H294" i="3" s="1"/>
  <c r="AH294" i="3"/>
  <c r="Y292" i="3"/>
  <c r="D294" i="3" l="1"/>
  <c r="G294" i="3" s="1"/>
  <c r="K294" i="3"/>
  <c r="AE294" i="3" s="1"/>
  <c r="F294" i="3" l="1"/>
  <c r="I294" i="3"/>
  <c r="J294" i="3"/>
  <c r="AD294" i="3" s="1"/>
  <c r="M294" i="3"/>
  <c r="N294" i="3" s="1"/>
  <c r="V294" i="3"/>
  <c r="A295" i="3"/>
  <c r="B295" i="3" s="1"/>
  <c r="L294" i="3" l="1"/>
  <c r="W294" i="3"/>
  <c r="AA295" i="3"/>
  <c r="AD295" i="3"/>
  <c r="P295" i="3"/>
  <c r="Q295" i="3" s="1"/>
  <c r="R295" i="3" s="1"/>
  <c r="S295" i="3" s="1"/>
  <c r="AC295" i="3"/>
  <c r="Z295" i="3"/>
  <c r="U294" i="3" l="1"/>
  <c r="Y293" i="3"/>
  <c r="T295" i="3"/>
  <c r="AG295" i="3" s="1"/>
  <c r="D295" i="3" l="1"/>
  <c r="AH295" i="3"/>
  <c r="E295" i="3"/>
  <c r="H295" i="3" s="1"/>
  <c r="F295" i="3" l="1"/>
  <c r="G295" i="3"/>
  <c r="K295" i="3"/>
  <c r="AE295" i="3" s="1"/>
  <c r="V295" i="3" l="1"/>
  <c r="A296" i="3"/>
  <c r="B296" i="3" s="1"/>
  <c r="I295" i="3"/>
  <c r="J295" i="3"/>
  <c r="M295" i="3"/>
  <c r="N295" i="3" s="1"/>
  <c r="L295" i="3" l="1"/>
  <c r="AC296" i="3"/>
  <c r="Z296" i="3"/>
  <c r="AD296" i="3"/>
  <c r="P296" i="3"/>
  <c r="Q296" i="3" s="1"/>
  <c r="R296" i="3" s="1"/>
  <c r="S296" i="3" s="1"/>
  <c r="AA296" i="3"/>
  <c r="W295" i="3"/>
  <c r="T296" i="3" l="1"/>
  <c r="U295" i="3"/>
  <c r="Y294" i="3"/>
  <c r="D296" i="3" l="1"/>
  <c r="G296" i="3" s="1"/>
  <c r="AG296" i="3"/>
  <c r="AH296" i="3"/>
  <c r="E296" i="3"/>
  <c r="H296" i="3" s="1"/>
  <c r="F296" i="3" l="1"/>
  <c r="I296" i="3"/>
  <c r="J296" i="3"/>
  <c r="M296" i="3"/>
  <c r="N296" i="3" s="1"/>
  <c r="K296" i="3"/>
  <c r="AE296" i="3" s="1"/>
  <c r="V296" i="3" l="1"/>
  <c r="W296" i="3" s="1"/>
  <c r="A297" i="3"/>
  <c r="B297" i="3" s="1"/>
  <c r="L296" i="3"/>
  <c r="U296" i="3" l="1"/>
  <c r="Y295" i="3"/>
  <c r="AA297" i="3"/>
  <c r="P297" i="3"/>
  <c r="Q297" i="3" s="1"/>
  <c r="R297" i="3" s="1"/>
  <c r="S297" i="3" s="1"/>
  <c r="Z297" i="3"/>
  <c r="AC297" i="3"/>
  <c r="AD297" i="3"/>
  <c r="T297" i="3" l="1"/>
  <c r="E297" i="3" s="1"/>
  <c r="H297" i="3" s="1"/>
  <c r="D297" i="3" l="1"/>
  <c r="F297" i="3" s="1"/>
  <c r="AG297" i="3"/>
  <c r="K297" i="3"/>
  <c r="AE297" i="3" s="1"/>
  <c r="AH297" i="3"/>
  <c r="G297" i="3" l="1"/>
  <c r="M297" i="3" s="1"/>
  <c r="N297" i="3" s="1"/>
  <c r="V297" i="3"/>
  <c r="A298" i="3"/>
  <c r="B298" i="3" s="1"/>
  <c r="J297" i="3" l="1"/>
  <c r="L297" i="3" s="1"/>
  <c r="I297" i="3"/>
  <c r="W297" i="3" s="1"/>
  <c r="Z298" i="3"/>
  <c r="AD298" i="3"/>
  <c r="P298" i="3"/>
  <c r="Q298" i="3" s="1"/>
  <c r="R298" i="3" s="1"/>
  <c r="S298" i="3" s="1"/>
  <c r="AA298" i="3"/>
  <c r="AC298" i="3"/>
  <c r="T298" i="3" l="1"/>
  <c r="U297" i="3"/>
  <c r="Y296" i="3"/>
  <c r="E298" i="3" l="1"/>
  <c r="H298" i="3" s="1"/>
  <c r="K298" i="3" s="1"/>
  <c r="AE298" i="3" s="1"/>
  <c r="AH298" i="3"/>
  <c r="D298" i="3"/>
  <c r="AG298" i="3"/>
  <c r="F298" i="3" l="1"/>
  <c r="G298" i="3"/>
  <c r="V298" i="3"/>
  <c r="A299" i="3"/>
  <c r="B299" i="3" s="1"/>
  <c r="I298" i="3" l="1"/>
  <c r="W298" i="3" s="1"/>
  <c r="J298" i="3"/>
  <c r="M298" i="3"/>
  <c r="N298" i="3" s="1"/>
  <c r="Z299" i="3"/>
  <c r="AD299" i="3"/>
  <c r="P299" i="3"/>
  <c r="Q299" i="3" s="1"/>
  <c r="R299" i="3" s="1"/>
  <c r="S299" i="3" s="1"/>
  <c r="AA299" i="3"/>
  <c r="AC299" i="3"/>
  <c r="L298" i="3" l="1"/>
  <c r="T299" i="3"/>
  <c r="AG299" i="3" l="1"/>
  <c r="U298" i="3"/>
  <c r="E299" i="3" s="1"/>
  <c r="H299" i="3" s="1"/>
  <c r="AH299" i="3"/>
  <c r="Y297" i="3"/>
  <c r="D299" i="3" l="1"/>
  <c r="G299" i="3" s="1"/>
  <c r="K299" i="3"/>
  <c r="AE299" i="3" s="1"/>
  <c r="F299" i="3" l="1"/>
  <c r="I299" i="3"/>
  <c r="J299" i="3"/>
  <c r="M299" i="3"/>
  <c r="N299" i="3" s="1"/>
  <c r="V299" i="3"/>
  <c r="A300" i="3"/>
  <c r="B300" i="3" s="1"/>
  <c r="W299" i="3" l="1"/>
  <c r="L299" i="3"/>
  <c r="Z300" i="3"/>
  <c r="P300" i="3"/>
  <c r="Q300" i="3" s="1"/>
  <c r="R300" i="3" s="1"/>
  <c r="S300" i="3" s="1"/>
  <c r="AD300" i="3"/>
  <c r="AA300" i="3"/>
  <c r="AC300" i="3"/>
  <c r="U299" i="3" l="1"/>
  <c r="Y298" i="3"/>
  <c r="T300" i="3"/>
  <c r="E300" i="3" l="1"/>
  <c r="H300" i="3" s="1"/>
  <c r="K300" i="3" s="1"/>
  <c r="AE300" i="3" s="1"/>
  <c r="AH300" i="3"/>
  <c r="AG300" i="3"/>
  <c r="D300" i="3"/>
  <c r="F300" i="3" l="1"/>
  <c r="G300" i="3"/>
  <c r="V300" i="3"/>
  <c r="A301" i="3"/>
  <c r="B301" i="3" s="1"/>
  <c r="I300" i="3" l="1"/>
  <c r="W300" i="3" s="1"/>
  <c r="J300" i="3"/>
  <c r="M300" i="3"/>
  <c r="N300" i="3" s="1"/>
  <c r="AC301" i="3"/>
  <c r="Z301" i="3"/>
  <c r="AD301" i="3"/>
  <c r="AA301" i="3"/>
  <c r="P301" i="3"/>
  <c r="Q301" i="3" s="1"/>
  <c r="R301" i="3" s="1"/>
  <c r="S301" i="3" s="1"/>
  <c r="L300" i="3" l="1"/>
  <c r="T301" i="3"/>
  <c r="AH301" i="3" l="1"/>
  <c r="U300" i="3"/>
  <c r="D301" i="3" s="1"/>
  <c r="AG301" i="3"/>
  <c r="Y299" i="3"/>
  <c r="E301" i="3" l="1"/>
  <c r="H301" i="3" s="1"/>
  <c r="K301" i="3" s="1"/>
  <c r="AE301" i="3" s="1"/>
  <c r="G301" i="3"/>
  <c r="F301" i="3" l="1"/>
  <c r="I301" i="3"/>
  <c r="J301" i="3"/>
  <c r="M301" i="3"/>
  <c r="N301" i="3" s="1"/>
  <c r="V301" i="3"/>
  <c r="A302" i="3"/>
  <c r="B302" i="3" s="1"/>
  <c r="W301" i="3" l="1"/>
  <c r="L301" i="3"/>
  <c r="P302" i="3"/>
  <c r="Q302" i="3" s="1"/>
  <c r="R302" i="3" s="1"/>
  <c r="S302" i="3" s="1"/>
  <c r="AA302" i="3"/>
  <c r="AC302" i="3"/>
  <c r="AD302" i="3"/>
  <c r="Z302" i="3"/>
  <c r="U301" i="3" l="1"/>
  <c r="Y300" i="3"/>
  <c r="T302" i="3"/>
  <c r="AG302" i="3" s="1"/>
  <c r="AH302" i="3" l="1"/>
  <c r="D302" i="3"/>
  <c r="E302" i="3"/>
  <c r="H302" i="3" s="1"/>
  <c r="K302" i="3" s="1"/>
  <c r="AE302" i="3" s="1"/>
  <c r="F302" i="3" l="1"/>
  <c r="G302" i="3"/>
  <c r="M302" i="3" s="1"/>
  <c r="N302" i="3" s="1"/>
  <c r="V302" i="3"/>
  <c r="A303" i="3"/>
  <c r="B303" i="3" s="1"/>
  <c r="I302" i="3" l="1"/>
  <c r="W302" i="3" s="1"/>
  <c r="J302" i="3"/>
  <c r="L302" i="3" s="1"/>
  <c r="AD303" i="3"/>
  <c r="Z303" i="3"/>
  <c r="P303" i="3"/>
  <c r="Q303" i="3" s="1"/>
  <c r="R303" i="3" s="1"/>
  <c r="S303" i="3" s="1"/>
  <c r="AA303" i="3"/>
  <c r="AC303" i="3"/>
  <c r="T303" i="3" l="1"/>
  <c r="U302" i="3"/>
  <c r="Y301" i="3"/>
  <c r="E303" i="3" l="1"/>
  <c r="H303" i="3" s="1"/>
  <c r="K303" i="3" s="1"/>
  <c r="AE303" i="3" s="1"/>
  <c r="D303" i="3"/>
  <c r="G303" i="3" s="1"/>
  <c r="AH303" i="3"/>
  <c r="AG303" i="3"/>
  <c r="F303" i="3" l="1"/>
  <c r="I303" i="3"/>
  <c r="J303" i="3"/>
  <c r="M303" i="3"/>
  <c r="N303" i="3" s="1"/>
  <c r="V303" i="3"/>
  <c r="A304" i="3"/>
  <c r="B304" i="3" s="1"/>
  <c r="W303" i="3" l="1"/>
  <c r="L303" i="3"/>
  <c r="Z304" i="3"/>
  <c r="P304" i="3"/>
  <c r="Q304" i="3" s="1"/>
  <c r="R304" i="3" s="1"/>
  <c r="S304" i="3" s="1"/>
  <c r="AC304" i="3"/>
  <c r="AA304" i="3"/>
  <c r="U303" i="3" l="1"/>
  <c r="Y302" i="3"/>
  <c r="T304" i="3"/>
  <c r="AH304" i="3" s="1"/>
  <c r="AG304" i="3" l="1"/>
  <c r="D304" i="3"/>
  <c r="G304" i="3" s="1"/>
  <c r="E304" i="3"/>
  <c r="H304" i="3" s="1"/>
  <c r="K304" i="3" s="1"/>
  <c r="AE304" i="3" s="1"/>
  <c r="F304" i="3" l="1"/>
  <c r="I304" i="3"/>
  <c r="J304" i="3"/>
  <c r="AD304" i="3" s="1"/>
  <c r="M304" i="3"/>
  <c r="N304" i="3" s="1"/>
  <c r="V304" i="3"/>
  <c r="A305" i="3"/>
  <c r="B305" i="3" s="1"/>
  <c r="W304" i="3" l="1"/>
  <c r="L304" i="3"/>
  <c r="Z305" i="3"/>
  <c r="AA305" i="3"/>
  <c r="P305" i="3"/>
  <c r="Q305" i="3" s="1"/>
  <c r="R305" i="3" s="1"/>
  <c r="S305" i="3" s="1"/>
  <c r="AC305" i="3"/>
  <c r="AD305" i="3"/>
  <c r="U304" i="3" l="1"/>
  <c r="Y303" i="3"/>
  <c r="T305" i="3"/>
  <c r="AG305" i="3" s="1"/>
  <c r="AH305" i="3" l="1"/>
  <c r="E305" i="3"/>
  <c r="H305" i="3" s="1"/>
  <c r="K305" i="3" s="1"/>
  <c r="AE305" i="3" s="1"/>
  <c r="D305" i="3"/>
  <c r="V305" i="3" l="1"/>
  <c r="A306" i="3"/>
  <c r="B306" i="3" s="1"/>
  <c r="F305" i="3"/>
  <c r="G305" i="3"/>
  <c r="I305" i="3" l="1"/>
  <c r="W305" i="3" s="1"/>
  <c r="J305" i="3"/>
  <c r="M305" i="3"/>
  <c r="N305" i="3" s="1"/>
  <c r="AA306" i="3"/>
  <c r="Z306" i="3"/>
  <c r="P306" i="3"/>
  <c r="Q306" i="3" s="1"/>
  <c r="R306" i="3" s="1"/>
  <c r="S306" i="3" s="1"/>
  <c r="AC306" i="3"/>
  <c r="AD306" i="3"/>
  <c r="T306" i="3" l="1"/>
  <c r="L305" i="3"/>
  <c r="U305" i="3" l="1"/>
  <c r="E306" i="3" s="1"/>
  <c r="H306" i="3" s="1"/>
  <c r="AH306" i="3"/>
  <c r="AG306" i="3"/>
  <c r="Y304" i="3"/>
  <c r="D306" i="3" l="1"/>
  <c r="G306" i="3" s="1"/>
  <c r="K306" i="3"/>
  <c r="AE306" i="3" s="1"/>
  <c r="F306" i="3" l="1"/>
  <c r="I306" i="3"/>
  <c r="J306" i="3"/>
  <c r="M306" i="3"/>
  <c r="N306" i="3" s="1"/>
  <c r="V306" i="3"/>
  <c r="A307" i="3"/>
  <c r="B307" i="3" s="1"/>
  <c r="W306" i="3" l="1"/>
  <c r="L306" i="3"/>
  <c r="AC307" i="3"/>
  <c r="P307" i="3"/>
  <c r="Q307" i="3" s="1"/>
  <c r="R307" i="3" s="1"/>
  <c r="S307" i="3" s="1"/>
  <c r="AA307" i="3"/>
  <c r="Z307" i="3"/>
  <c r="AD307" i="3"/>
  <c r="T307" i="3" l="1"/>
  <c r="AH307" i="3" s="1"/>
  <c r="U306" i="3"/>
  <c r="Y305" i="3"/>
  <c r="D307" i="3" l="1"/>
  <c r="E307" i="3"/>
  <c r="H307" i="3" s="1"/>
  <c r="AG307" i="3"/>
  <c r="F307" i="3" l="1"/>
  <c r="G307" i="3"/>
  <c r="K307" i="3"/>
  <c r="AE307" i="3" s="1"/>
  <c r="I307" i="3" l="1"/>
  <c r="J307" i="3"/>
  <c r="M307" i="3"/>
  <c r="N307" i="3" s="1"/>
  <c r="V307" i="3"/>
  <c r="A308" i="3"/>
  <c r="B308" i="3" s="1"/>
  <c r="L307" i="3" l="1"/>
  <c r="Z308" i="3"/>
  <c r="AD308" i="3"/>
  <c r="AA308" i="3"/>
  <c r="P308" i="3"/>
  <c r="Q308" i="3" s="1"/>
  <c r="R308" i="3" s="1"/>
  <c r="S308" i="3" s="1"/>
  <c r="AC308" i="3"/>
  <c r="W307" i="3"/>
  <c r="T308" i="3" l="1"/>
  <c r="U307" i="3"/>
  <c r="Y306" i="3"/>
  <c r="E308" i="3" l="1"/>
  <c r="H308" i="3" s="1"/>
  <c r="K308" i="3" s="1"/>
  <c r="AE308" i="3" s="1"/>
  <c r="AH308" i="3"/>
  <c r="AG308" i="3"/>
  <c r="D308" i="3"/>
  <c r="F308" i="3" l="1"/>
  <c r="G308" i="3"/>
  <c r="V308" i="3"/>
  <c r="A309" i="3"/>
  <c r="B309" i="3" s="1"/>
  <c r="I308" i="3" l="1"/>
  <c r="W308" i="3" s="1"/>
  <c r="J308" i="3"/>
  <c r="M308" i="3"/>
  <c r="N308" i="3" s="1"/>
  <c r="AC309" i="3"/>
  <c r="AD309" i="3"/>
  <c r="P309" i="3"/>
  <c r="Q309" i="3" s="1"/>
  <c r="R309" i="3" s="1"/>
  <c r="S309" i="3" s="1"/>
  <c r="AA309" i="3"/>
  <c r="Z309" i="3"/>
  <c r="T309" i="3" l="1"/>
  <c r="L308" i="3"/>
  <c r="AG309" i="3" l="1"/>
  <c r="AH309" i="3"/>
  <c r="U308" i="3"/>
  <c r="E309" i="3" s="1"/>
  <c r="H309" i="3" s="1"/>
  <c r="Y307" i="3"/>
  <c r="D309" i="3" l="1"/>
  <c r="G309" i="3" s="1"/>
  <c r="K309" i="3"/>
  <c r="AE309" i="3" s="1"/>
  <c r="F309" i="3" l="1"/>
  <c r="V309" i="3"/>
  <c r="A310" i="3"/>
  <c r="B310" i="3" s="1"/>
  <c r="I309" i="3"/>
  <c r="J309" i="3"/>
  <c r="M309" i="3"/>
  <c r="N309" i="3" s="1"/>
  <c r="W309" i="3" l="1"/>
  <c r="L309" i="3"/>
  <c r="AC310" i="3"/>
  <c r="AD310" i="3"/>
  <c r="Z310" i="3"/>
  <c r="AA310" i="3"/>
  <c r="P310" i="3"/>
  <c r="Q310" i="3" s="1"/>
  <c r="R310" i="3" s="1"/>
  <c r="S310" i="3" s="1"/>
  <c r="T310" i="3" l="1"/>
  <c r="AH310" i="3" s="1"/>
  <c r="U309" i="3"/>
  <c r="Y308" i="3"/>
  <c r="AG310" i="3" l="1"/>
  <c r="E310" i="3"/>
  <c r="H310" i="3" s="1"/>
  <c r="D310" i="3"/>
  <c r="K310" i="3" l="1"/>
  <c r="AE310" i="3" s="1"/>
  <c r="F310" i="3"/>
  <c r="G310" i="3"/>
  <c r="I310" i="3" l="1"/>
  <c r="J310" i="3"/>
  <c r="M310" i="3"/>
  <c r="N310" i="3" s="1"/>
  <c r="V310" i="3"/>
  <c r="A311" i="3"/>
  <c r="B311" i="3" s="1"/>
  <c r="W310" i="3" l="1"/>
  <c r="L310" i="3"/>
  <c r="AA311" i="3"/>
  <c r="Z311" i="3"/>
  <c r="P311" i="3"/>
  <c r="Q311" i="3" s="1"/>
  <c r="R311" i="3" s="1"/>
  <c r="S311" i="3" s="1"/>
  <c r="AC311" i="3"/>
  <c r="AD311" i="3"/>
  <c r="T311" i="3" l="1"/>
  <c r="AH311" i="3" s="1"/>
  <c r="U310" i="3"/>
  <c r="Y309" i="3"/>
  <c r="D311" i="3" l="1"/>
  <c r="G311" i="3" s="1"/>
  <c r="E311" i="3"/>
  <c r="H311" i="3" s="1"/>
  <c r="AG311" i="3"/>
  <c r="I311" i="3" l="1"/>
  <c r="J311" i="3"/>
  <c r="M311" i="3"/>
  <c r="N311" i="3" s="1"/>
  <c r="K311" i="3"/>
  <c r="AE311" i="3" s="1"/>
  <c r="F311" i="3"/>
  <c r="V311" i="3" l="1"/>
  <c r="W311" i="3" s="1"/>
  <c r="A312" i="3"/>
  <c r="B312" i="3" s="1"/>
  <c r="L311" i="3"/>
  <c r="U311" i="3" l="1"/>
  <c r="Y310" i="3"/>
  <c r="AA312" i="3"/>
  <c r="Z312" i="3"/>
  <c r="AD312" i="3"/>
  <c r="P312" i="3"/>
  <c r="Q312" i="3" s="1"/>
  <c r="R312" i="3" s="1"/>
  <c r="S312" i="3" s="1"/>
  <c r="AC312" i="3"/>
  <c r="T312" i="3" l="1"/>
  <c r="AG312" i="3" s="1"/>
  <c r="E312" i="3" l="1"/>
  <c r="H312" i="3" s="1"/>
  <c r="K312" i="3" s="1"/>
  <c r="AE312" i="3" s="1"/>
  <c r="D312" i="3"/>
  <c r="AH312" i="3"/>
  <c r="V312" i="3" l="1"/>
  <c r="A313" i="3"/>
  <c r="B313" i="3" s="1"/>
  <c r="F312" i="3"/>
  <c r="G312" i="3"/>
  <c r="I312" i="3" l="1"/>
  <c r="W312" i="3" s="1"/>
  <c r="J312" i="3"/>
  <c r="M312" i="3"/>
  <c r="N312" i="3" s="1"/>
  <c r="Z313" i="3"/>
  <c r="AC313" i="3"/>
  <c r="P313" i="3"/>
  <c r="Q313" i="3" s="1"/>
  <c r="R313" i="3" s="1"/>
  <c r="S313" i="3" s="1"/>
  <c r="AD313" i="3"/>
  <c r="AA313" i="3"/>
  <c r="T313" i="3" l="1"/>
  <c r="L312" i="3"/>
  <c r="AG313" i="3" l="1"/>
  <c r="AH313" i="3"/>
  <c r="U312" i="3"/>
  <c r="D313" i="3" s="1"/>
  <c r="Y311" i="3"/>
  <c r="E313" i="3" l="1"/>
  <c r="H313" i="3" s="1"/>
  <c r="K313" i="3" s="1"/>
  <c r="AE313" i="3" s="1"/>
  <c r="G313" i="3"/>
  <c r="F313" i="3" l="1"/>
  <c r="I313" i="3"/>
  <c r="J313" i="3"/>
  <c r="M313" i="3"/>
  <c r="N313" i="3" s="1"/>
  <c r="V313" i="3"/>
  <c r="A314" i="3"/>
  <c r="B314" i="3" s="1"/>
  <c r="Z314" i="3" l="1"/>
  <c r="AC314" i="3"/>
  <c r="AA314" i="3"/>
  <c r="P314" i="3"/>
  <c r="Q314" i="3" s="1"/>
  <c r="R314" i="3" s="1"/>
  <c r="S314" i="3" s="1"/>
  <c r="L313" i="3"/>
  <c r="W313" i="3"/>
  <c r="U313" i="3" l="1"/>
  <c r="Y312" i="3"/>
  <c r="T314" i="3"/>
  <c r="D314" i="3" l="1"/>
  <c r="G314" i="3" s="1"/>
  <c r="AG314" i="3"/>
  <c r="AH314" i="3"/>
  <c r="E314" i="3"/>
  <c r="H314" i="3" s="1"/>
  <c r="F314" i="3" l="1"/>
  <c r="I314" i="3"/>
  <c r="J314" i="3"/>
  <c r="AD314" i="3" s="1"/>
  <c r="M314" i="3"/>
  <c r="N314" i="3" s="1"/>
  <c r="K314" i="3"/>
  <c r="AE314" i="3" s="1"/>
  <c r="V314" i="3" l="1"/>
  <c r="W314" i="3" s="1"/>
  <c r="A315" i="3"/>
  <c r="B315" i="3" s="1"/>
  <c r="L314" i="3"/>
  <c r="U314" i="3" l="1"/>
  <c r="Y313" i="3"/>
  <c r="Z315" i="3"/>
  <c r="P315" i="3"/>
  <c r="Q315" i="3" s="1"/>
  <c r="R315" i="3" s="1"/>
  <c r="S315" i="3" s="1"/>
  <c r="AD315" i="3"/>
  <c r="AA315" i="3"/>
  <c r="AC315" i="3"/>
  <c r="T315" i="3" l="1"/>
  <c r="D315" i="3" s="1"/>
  <c r="AH315" i="3" l="1"/>
  <c r="AG315" i="3"/>
  <c r="E315" i="3"/>
  <c r="H315" i="3" s="1"/>
  <c r="K315" i="3" s="1"/>
  <c r="AE315" i="3" s="1"/>
  <c r="G315" i="3"/>
  <c r="F315" i="3" l="1"/>
  <c r="I315" i="3"/>
  <c r="J315" i="3"/>
  <c r="M315" i="3"/>
  <c r="N315" i="3" s="1"/>
  <c r="V315" i="3"/>
  <c r="A316" i="3"/>
  <c r="B316" i="3" s="1"/>
  <c r="W315" i="3" l="1"/>
  <c r="L315" i="3"/>
  <c r="Z316" i="3"/>
  <c r="AC316" i="3"/>
  <c r="P316" i="3"/>
  <c r="Q316" i="3" s="1"/>
  <c r="R316" i="3" s="1"/>
  <c r="S316" i="3" s="1"/>
  <c r="AD316" i="3"/>
  <c r="AA316" i="3"/>
  <c r="U315" i="3" l="1"/>
  <c r="Y314" i="3"/>
  <c r="T316" i="3"/>
  <c r="AG316" i="3" s="1"/>
  <c r="D316" i="3" l="1"/>
  <c r="AH316" i="3"/>
  <c r="E316" i="3"/>
  <c r="H316" i="3" s="1"/>
  <c r="F316" i="3" l="1"/>
  <c r="G316" i="3"/>
  <c r="K316" i="3"/>
  <c r="AE316" i="3" s="1"/>
  <c r="V316" i="3" l="1"/>
  <c r="A317" i="3"/>
  <c r="B317" i="3" s="1"/>
  <c r="I316" i="3"/>
  <c r="J316" i="3"/>
  <c r="M316" i="3"/>
  <c r="N316" i="3" s="1"/>
  <c r="W316" i="3" l="1"/>
  <c r="L316" i="3"/>
  <c r="Z317" i="3"/>
  <c r="AA317" i="3"/>
  <c r="P317" i="3"/>
  <c r="Q317" i="3" s="1"/>
  <c r="R317" i="3" s="1"/>
  <c r="S317" i="3" s="1"/>
  <c r="AD317" i="3"/>
  <c r="AC317" i="3"/>
  <c r="T317" i="3" l="1"/>
  <c r="AG317" i="3" s="1"/>
  <c r="U316" i="3"/>
  <c r="Y315" i="3"/>
  <c r="E317" i="3" l="1"/>
  <c r="H317" i="3" s="1"/>
  <c r="K317" i="3" s="1"/>
  <c r="AE317" i="3" s="1"/>
  <c r="D317" i="3"/>
  <c r="AH317" i="3"/>
  <c r="V317" i="3" l="1"/>
  <c r="A318" i="3"/>
  <c r="B318" i="3" s="1"/>
  <c r="F317" i="3"/>
  <c r="G317" i="3"/>
  <c r="I317" i="3" l="1"/>
  <c r="W317" i="3" s="1"/>
  <c r="J317" i="3"/>
  <c r="M317" i="3"/>
  <c r="N317" i="3" s="1"/>
  <c r="AA318" i="3"/>
  <c r="P318" i="3"/>
  <c r="Q318" i="3" s="1"/>
  <c r="R318" i="3" s="1"/>
  <c r="S318" i="3" s="1"/>
  <c r="Z318" i="3"/>
  <c r="AC318" i="3"/>
  <c r="AD318" i="3"/>
  <c r="T318" i="3" l="1"/>
  <c r="L317" i="3"/>
  <c r="AH318" i="3" l="1"/>
  <c r="AG318" i="3"/>
  <c r="U317" i="3"/>
  <c r="E318" i="3" s="1"/>
  <c r="H318" i="3" s="1"/>
  <c r="Y316" i="3"/>
  <c r="K318" i="3" l="1"/>
  <c r="AE318" i="3" s="1"/>
  <c r="D318" i="3"/>
  <c r="V318" i="3" l="1"/>
  <c r="A319" i="3"/>
  <c r="B319" i="3" s="1"/>
  <c r="F318" i="3"/>
  <c r="G318" i="3"/>
  <c r="I318" i="3" l="1"/>
  <c r="W318" i="3" s="1"/>
  <c r="J318" i="3"/>
  <c r="M318" i="3"/>
  <c r="N318" i="3" s="1"/>
  <c r="Z319" i="3"/>
  <c r="AC319" i="3"/>
  <c r="P319" i="3"/>
  <c r="Q319" i="3" s="1"/>
  <c r="R319" i="3" s="1"/>
  <c r="S319" i="3" s="1"/>
  <c r="AD319" i="3"/>
  <c r="AA319" i="3"/>
  <c r="T319" i="3" l="1"/>
  <c r="L318" i="3"/>
  <c r="U318" i="3" l="1"/>
  <c r="E319" i="3" s="1"/>
  <c r="H319" i="3" s="1"/>
  <c r="AH319" i="3"/>
  <c r="AG319" i="3"/>
  <c r="Y317" i="3"/>
  <c r="D319" i="3" l="1"/>
  <c r="G319" i="3" s="1"/>
  <c r="K319" i="3"/>
  <c r="AE319" i="3" s="1"/>
  <c r="F319" i="3" l="1"/>
  <c r="V319" i="3"/>
  <c r="A320" i="3"/>
  <c r="B320" i="3" s="1"/>
  <c r="I319" i="3"/>
  <c r="J319" i="3"/>
  <c r="M319" i="3"/>
  <c r="N319" i="3" s="1"/>
  <c r="L319" i="3" l="1"/>
  <c r="W319" i="3"/>
  <c r="AA320" i="3"/>
  <c r="AC320" i="3"/>
  <c r="P320" i="3"/>
  <c r="Q320" i="3" s="1"/>
  <c r="R320" i="3" s="1"/>
  <c r="S320" i="3" s="1"/>
  <c r="Z320" i="3"/>
  <c r="AD320" i="3"/>
  <c r="U319" i="3" l="1"/>
  <c r="Y318" i="3"/>
  <c r="T320" i="3"/>
  <c r="AH320" i="3" s="1"/>
  <c r="D320" i="3" l="1"/>
  <c r="AG320" i="3"/>
  <c r="E320" i="3"/>
  <c r="H320" i="3" s="1"/>
  <c r="F320" i="3" l="1"/>
  <c r="G320" i="3"/>
  <c r="K320" i="3"/>
  <c r="AE320" i="3" s="1"/>
  <c r="I320" i="3" l="1"/>
  <c r="J320" i="3"/>
  <c r="M320" i="3"/>
  <c r="N320" i="3" s="1"/>
  <c r="V320" i="3"/>
  <c r="A321" i="3"/>
  <c r="B321" i="3" s="1"/>
  <c r="W320" i="3" l="1"/>
  <c r="L320" i="3"/>
  <c r="AC321" i="3"/>
  <c r="AA321" i="3"/>
  <c r="Z321" i="3"/>
  <c r="P321" i="3"/>
  <c r="Q321" i="3" s="1"/>
  <c r="R321" i="3" s="1"/>
  <c r="S321" i="3" s="1"/>
  <c r="AD321" i="3"/>
  <c r="U320" i="3" l="1"/>
  <c r="Y319" i="3"/>
  <c r="T321" i="3"/>
  <c r="D321" i="3" l="1"/>
  <c r="G321" i="3" s="1"/>
  <c r="AH321" i="3"/>
  <c r="E321" i="3"/>
  <c r="H321" i="3" s="1"/>
  <c r="AG321" i="3"/>
  <c r="F321" i="3" l="1"/>
  <c r="I321" i="3"/>
  <c r="J321" i="3"/>
  <c r="M321" i="3"/>
  <c r="N321" i="3" s="1"/>
  <c r="K321" i="3"/>
  <c r="AE321" i="3" s="1"/>
  <c r="V321" i="3" l="1"/>
  <c r="W321" i="3" s="1"/>
  <c r="A322" i="3"/>
  <c r="B322" i="3" s="1"/>
  <c r="L321" i="3"/>
  <c r="U321" i="3" l="1"/>
  <c r="Y320" i="3"/>
  <c r="P322" i="3"/>
  <c r="Q322" i="3" s="1"/>
  <c r="R322" i="3" s="1"/>
  <c r="S322" i="3" s="1"/>
  <c r="Z322" i="3"/>
  <c r="AC322" i="3"/>
  <c r="AD322" i="3"/>
  <c r="AA322" i="3"/>
  <c r="T322" i="3" l="1"/>
  <c r="AH322" i="3" s="1"/>
  <c r="E322" i="3" l="1"/>
  <c r="H322" i="3" s="1"/>
  <c r="K322" i="3" s="1"/>
  <c r="AE322" i="3" s="1"/>
  <c r="AG322" i="3"/>
  <c r="D322" i="3"/>
  <c r="V322" i="3" l="1"/>
  <c r="A323" i="3"/>
  <c r="B323" i="3" s="1"/>
  <c r="F322" i="3"/>
  <c r="G322" i="3"/>
  <c r="I322" i="3" l="1"/>
  <c r="W322" i="3" s="1"/>
  <c r="J322" i="3"/>
  <c r="M322" i="3"/>
  <c r="N322" i="3" s="1"/>
  <c r="P323" i="3"/>
  <c r="Q323" i="3" s="1"/>
  <c r="R323" i="3" s="1"/>
  <c r="S323" i="3" s="1"/>
  <c r="AA323" i="3"/>
  <c r="Z323" i="3"/>
  <c r="AD323" i="3"/>
  <c r="AC323" i="3"/>
  <c r="T323" i="3" l="1"/>
  <c r="L322" i="3"/>
  <c r="AH323" i="3" l="1"/>
  <c r="U322" i="3"/>
  <c r="D323" i="3" s="1"/>
  <c r="AG323" i="3"/>
  <c r="Y321" i="3"/>
  <c r="G323" i="3" l="1"/>
  <c r="E323" i="3"/>
  <c r="H323" i="3" s="1"/>
  <c r="F323" i="3" l="1"/>
  <c r="K323" i="3"/>
  <c r="AE323" i="3" s="1"/>
  <c r="I323" i="3"/>
  <c r="J323" i="3"/>
  <c r="M323" i="3"/>
  <c r="N323" i="3" s="1"/>
  <c r="L323" i="3" l="1"/>
  <c r="V323" i="3"/>
  <c r="W323" i="3" s="1"/>
  <c r="A324" i="3"/>
  <c r="B324" i="3" s="1"/>
  <c r="U323" i="3" l="1"/>
  <c r="Y322" i="3"/>
  <c r="Z324" i="3"/>
  <c r="P324" i="3"/>
  <c r="Q324" i="3" s="1"/>
  <c r="R324" i="3" s="1"/>
  <c r="S324" i="3" s="1"/>
  <c r="AA324" i="3"/>
  <c r="AC324" i="3"/>
  <c r="T324" i="3" l="1"/>
  <c r="AG324" i="3" s="1"/>
  <c r="E324" i="3" l="1"/>
  <c r="H324" i="3" s="1"/>
  <c r="K324" i="3" s="1"/>
  <c r="AE324" i="3" s="1"/>
  <c r="AH324" i="3"/>
  <c r="D324" i="3"/>
  <c r="V324" i="3" l="1"/>
  <c r="A325" i="3"/>
  <c r="B325" i="3" s="1"/>
  <c r="F324" i="3"/>
  <c r="G324" i="3"/>
  <c r="I324" i="3" l="1"/>
  <c r="W324" i="3" s="1"/>
  <c r="J324" i="3"/>
  <c r="AD324" i="3" s="1"/>
  <c r="M324" i="3"/>
  <c r="N324" i="3" s="1"/>
  <c r="P325" i="3"/>
  <c r="Q325" i="3" s="1"/>
  <c r="R325" i="3" s="1"/>
  <c r="S325" i="3" s="1"/>
  <c r="AC325" i="3"/>
  <c r="Z325" i="3"/>
  <c r="AA325" i="3"/>
  <c r="T325" i="3" l="1"/>
  <c r="L324" i="3"/>
  <c r="AG325" i="3" l="1"/>
  <c r="U324" i="3"/>
  <c r="D325" i="3" s="1"/>
  <c r="AH325" i="3"/>
  <c r="Y323" i="3"/>
  <c r="E325" i="3" l="1"/>
  <c r="H325" i="3" s="1"/>
  <c r="K325" i="3" s="1"/>
  <c r="AE325" i="3" s="1"/>
  <c r="G325" i="3"/>
  <c r="F325" i="3" l="1"/>
  <c r="V325" i="3"/>
  <c r="A326" i="3"/>
  <c r="B326" i="3" s="1"/>
  <c r="I325" i="3"/>
  <c r="J325" i="3"/>
  <c r="AD325" i="3" s="1"/>
  <c r="M325" i="3"/>
  <c r="N325" i="3" s="1"/>
  <c r="L325" i="3" l="1"/>
  <c r="W325" i="3"/>
  <c r="P326" i="3"/>
  <c r="Q326" i="3" s="1"/>
  <c r="R326" i="3" s="1"/>
  <c r="S326" i="3" s="1"/>
  <c r="AA326" i="3"/>
  <c r="AC326" i="3"/>
  <c r="Z326" i="3"/>
  <c r="U325" i="3" l="1"/>
  <c r="Y324" i="3"/>
  <c r="T326" i="3"/>
  <c r="AH326" i="3" s="1"/>
  <c r="E326" i="3" l="1"/>
  <c r="H326" i="3" s="1"/>
  <c r="K326" i="3" s="1"/>
  <c r="AE326" i="3" s="1"/>
  <c r="AG326" i="3"/>
  <c r="D326" i="3"/>
  <c r="G326" i="3" s="1"/>
  <c r="F326" i="3" l="1"/>
  <c r="I326" i="3"/>
  <c r="J326" i="3"/>
  <c r="AD326" i="3" s="1"/>
  <c r="M326" i="3"/>
  <c r="N326" i="3" s="1"/>
  <c r="V326" i="3"/>
  <c r="A327" i="3"/>
  <c r="B327" i="3" s="1"/>
  <c r="W326" i="3" l="1"/>
  <c r="L326" i="3"/>
  <c r="Z327" i="3"/>
  <c r="AA327" i="3"/>
  <c r="P327" i="3"/>
  <c r="Q327" i="3" s="1"/>
  <c r="R327" i="3" s="1"/>
  <c r="S327" i="3" s="1"/>
  <c r="AC327" i="3"/>
  <c r="U326" i="3" l="1"/>
  <c r="Y325" i="3"/>
  <c r="T327" i="3"/>
  <c r="AH327" i="3" s="1"/>
  <c r="E327" i="3" l="1"/>
  <c r="H327" i="3" s="1"/>
  <c r="K327" i="3" s="1"/>
  <c r="AE327" i="3" s="1"/>
  <c r="D327" i="3"/>
  <c r="AG327" i="3"/>
  <c r="F327" i="3" l="1"/>
  <c r="G327" i="3"/>
  <c r="M327" i="3" s="1"/>
  <c r="N327" i="3" s="1"/>
  <c r="V327" i="3"/>
  <c r="A328" i="3"/>
  <c r="B328" i="3" s="1"/>
  <c r="I327" i="3" l="1"/>
  <c r="W327" i="3" s="1"/>
  <c r="J327" i="3"/>
  <c r="Z328" i="3"/>
  <c r="P328" i="3"/>
  <c r="Q328" i="3" s="1"/>
  <c r="R328" i="3" s="1"/>
  <c r="S328" i="3" s="1"/>
  <c r="AA328" i="3"/>
  <c r="AC328" i="3"/>
  <c r="L327" i="3" l="1"/>
  <c r="U327" i="3" s="1"/>
  <c r="AD327" i="3"/>
  <c r="T328" i="3"/>
  <c r="AG328" i="3" l="1"/>
  <c r="Y326" i="3"/>
  <c r="AH328" i="3"/>
  <c r="E328" i="3"/>
  <c r="H328" i="3" s="1"/>
  <c r="K328" i="3" s="1"/>
  <c r="AE328" i="3" s="1"/>
  <c r="D328" i="3"/>
  <c r="V328" i="3" l="1"/>
  <c r="A329" i="3"/>
  <c r="B329" i="3" s="1"/>
  <c r="F328" i="3"/>
  <c r="G328" i="3"/>
  <c r="I328" i="3" l="1"/>
  <c r="W328" i="3" s="1"/>
  <c r="J328" i="3"/>
  <c r="AD328" i="3" s="1"/>
  <c r="M328" i="3"/>
  <c r="N328" i="3" s="1"/>
  <c r="P329" i="3"/>
  <c r="Q329" i="3" s="1"/>
  <c r="R329" i="3" s="1"/>
  <c r="S329" i="3" s="1"/>
  <c r="Z329" i="3"/>
  <c r="AC329" i="3"/>
  <c r="AA329" i="3"/>
  <c r="T329" i="3" l="1"/>
  <c r="L328" i="3"/>
  <c r="AH329" i="3" l="1"/>
  <c r="U328" i="3"/>
  <c r="D329" i="3" s="1"/>
  <c r="AG329" i="3"/>
  <c r="Y327" i="3"/>
  <c r="E329" i="3" l="1"/>
  <c r="H329" i="3" s="1"/>
  <c r="K329" i="3" s="1"/>
  <c r="AE329" i="3" s="1"/>
  <c r="G329" i="3"/>
  <c r="F329" i="3" l="1"/>
  <c r="I329" i="3"/>
  <c r="J329" i="3"/>
  <c r="AD329" i="3" s="1"/>
  <c r="M329" i="3"/>
  <c r="N329" i="3" s="1"/>
  <c r="V329" i="3"/>
  <c r="A330" i="3"/>
  <c r="B330" i="3" s="1"/>
  <c r="W329" i="3" l="1"/>
  <c r="L329" i="3"/>
  <c r="AA330" i="3"/>
  <c r="AC330" i="3"/>
  <c r="P330" i="3"/>
  <c r="Q330" i="3" s="1"/>
  <c r="R330" i="3" s="1"/>
  <c r="S330" i="3" s="1"/>
  <c r="Z330" i="3"/>
  <c r="U329" i="3" l="1"/>
  <c r="Y328" i="3"/>
  <c r="T330" i="3"/>
  <c r="AH330" i="3" s="1"/>
  <c r="AG330" i="3" l="1"/>
  <c r="E330" i="3"/>
  <c r="H330" i="3" s="1"/>
  <c r="D330" i="3"/>
  <c r="K330" i="3" l="1"/>
  <c r="AE330" i="3" s="1"/>
  <c r="F330" i="3"/>
  <c r="G330" i="3"/>
  <c r="I330" i="3" l="1"/>
  <c r="J330" i="3"/>
  <c r="AD330" i="3" s="1"/>
  <c r="M330" i="3"/>
  <c r="N330" i="3" s="1"/>
  <c r="V330" i="3"/>
  <c r="A331" i="3"/>
  <c r="B331" i="3" s="1"/>
  <c r="W330" i="3" l="1"/>
  <c r="L330" i="3"/>
  <c r="P331" i="3"/>
  <c r="Q331" i="3" s="1"/>
  <c r="R331" i="3" s="1"/>
  <c r="S331" i="3" s="1"/>
  <c r="AA331" i="3"/>
  <c r="AC331" i="3"/>
  <c r="Z331" i="3"/>
  <c r="U330" i="3" l="1"/>
  <c r="Y329" i="3"/>
  <c r="T331" i="3"/>
  <c r="D331" i="3" l="1"/>
  <c r="G331" i="3" s="1"/>
  <c r="AH331" i="3"/>
  <c r="AG331" i="3"/>
  <c r="E331" i="3"/>
  <c r="H331" i="3" s="1"/>
  <c r="F331" i="3" l="1"/>
  <c r="I331" i="3"/>
  <c r="J331" i="3"/>
  <c r="AD331" i="3" s="1"/>
  <c r="M331" i="3"/>
  <c r="N331" i="3" s="1"/>
  <c r="K331" i="3"/>
  <c r="AE331" i="3" s="1"/>
  <c r="V331" i="3" l="1"/>
  <c r="W331" i="3" s="1"/>
  <c r="A332" i="3"/>
  <c r="B332" i="3" s="1"/>
  <c r="L331" i="3"/>
  <c r="U331" i="3" l="1"/>
  <c r="Y330" i="3"/>
  <c r="AA332" i="3"/>
  <c r="Z332" i="3"/>
  <c r="AC332" i="3"/>
  <c r="P332" i="3"/>
  <c r="Q332" i="3" s="1"/>
  <c r="R332" i="3" s="1"/>
  <c r="S332" i="3" s="1"/>
  <c r="T332" i="3" l="1"/>
  <c r="AG332" i="3" s="1"/>
  <c r="E332" i="3" l="1"/>
  <c r="H332" i="3" s="1"/>
  <c r="K332" i="3" s="1"/>
  <c r="AE332" i="3" s="1"/>
  <c r="D332" i="3"/>
  <c r="AH332" i="3"/>
  <c r="V332" i="3" l="1"/>
  <c r="A333" i="3"/>
  <c r="B333" i="3" s="1"/>
  <c r="F332" i="3"/>
  <c r="G332" i="3"/>
  <c r="I332" i="3" l="1"/>
  <c r="W332" i="3" s="1"/>
  <c r="J332" i="3"/>
  <c r="AD332" i="3" s="1"/>
  <c r="M332" i="3"/>
  <c r="N332" i="3" s="1"/>
  <c r="AA333" i="3"/>
  <c r="P333" i="3"/>
  <c r="Q333" i="3" s="1"/>
  <c r="R333" i="3" s="1"/>
  <c r="S333" i="3" s="1"/>
  <c r="Z333" i="3"/>
  <c r="AC333" i="3"/>
  <c r="T333" i="3" l="1"/>
  <c r="L332" i="3"/>
  <c r="AH333" i="3" l="1"/>
  <c r="AG333" i="3"/>
  <c r="U332" i="3"/>
  <c r="D333" i="3" s="1"/>
  <c r="Y331" i="3"/>
  <c r="E333" i="3" l="1"/>
  <c r="H333" i="3" s="1"/>
  <c r="K333" i="3" s="1"/>
  <c r="AE333" i="3" s="1"/>
  <c r="G333" i="3"/>
  <c r="F333" i="3" l="1"/>
  <c r="I333" i="3"/>
  <c r="J333" i="3"/>
  <c r="AD333" i="3" s="1"/>
  <c r="M333" i="3"/>
  <c r="N333" i="3" s="1"/>
  <c r="V333" i="3"/>
  <c r="A334" i="3"/>
  <c r="B334" i="3" s="1"/>
  <c r="W333" i="3" l="1"/>
  <c r="L333" i="3"/>
  <c r="AA334" i="3"/>
  <c r="P334" i="3"/>
  <c r="Q334" i="3" s="1"/>
  <c r="R334" i="3" s="1"/>
  <c r="S334" i="3" s="1"/>
  <c r="Z334" i="3"/>
  <c r="AC334" i="3"/>
  <c r="T334" i="3" l="1"/>
  <c r="AH334" i="3" s="1"/>
  <c r="U333" i="3"/>
  <c r="Y332" i="3"/>
  <c r="D334" i="3" l="1"/>
  <c r="G334" i="3" s="1"/>
  <c r="E334" i="3"/>
  <c r="H334" i="3" s="1"/>
  <c r="AG334" i="3"/>
  <c r="F334" i="3" l="1"/>
  <c r="I334" i="3"/>
  <c r="J334" i="3"/>
  <c r="AD334" i="3" s="1"/>
  <c r="M334" i="3"/>
  <c r="N334" i="3" s="1"/>
  <c r="K334" i="3"/>
  <c r="AE334" i="3" s="1"/>
  <c r="L334" i="3" l="1"/>
  <c r="V334" i="3"/>
  <c r="W334" i="3" s="1"/>
  <c r="A335" i="3"/>
  <c r="B335" i="3" s="1"/>
  <c r="U334" i="3" l="1"/>
  <c r="Y333" i="3"/>
  <c r="AC335" i="3"/>
  <c r="P335" i="3"/>
  <c r="Q335" i="3" s="1"/>
  <c r="R335" i="3" s="1"/>
  <c r="S335" i="3" s="1"/>
  <c r="AA335" i="3"/>
  <c r="Z335" i="3"/>
  <c r="T335" i="3" l="1"/>
  <c r="AG335" i="3" s="1"/>
  <c r="AH335" i="3" l="1"/>
  <c r="D335" i="3"/>
  <c r="E335" i="3"/>
  <c r="H335" i="3" s="1"/>
  <c r="F335" i="3" l="1"/>
  <c r="G335" i="3"/>
  <c r="K335" i="3"/>
  <c r="AE335" i="3" s="1"/>
  <c r="I335" i="3" l="1"/>
  <c r="J335" i="3"/>
  <c r="AD335" i="3" s="1"/>
  <c r="M335" i="3"/>
  <c r="N335" i="3" s="1"/>
  <c r="V335" i="3"/>
  <c r="A336" i="3"/>
  <c r="B336" i="3" s="1"/>
  <c r="W335" i="3" l="1"/>
  <c r="L335" i="3"/>
  <c r="AA336" i="3"/>
  <c r="P336" i="3"/>
  <c r="Q336" i="3" s="1"/>
  <c r="R336" i="3" s="1"/>
  <c r="S336" i="3" s="1"/>
  <c r="AC336" i="3"/>
  <c r="Z336" i="3"/>
  <c r="T336" i="3" l="1"/>
  <c r="AG336" i="3" s="1"/>
  <c r="U335" i="3"/>
  <c r="Y334" i="3"/>
  <c r="E336" i="3" l="1"/>
  <c r="H336" i="3" s="1"/>
  <c r="D336" i="3"/>
  <c r="AH336" i="3"/>
  <c r="K336" i="3" l="1"/>
  <c r="AE336" i="3" s="1"/>
  <c r="F336" i="3"/>
  <c r="G336" i="3"/>
  <c r="I336" i="3" l="1"/>
  <c r="J336" i="3"/>
  <c r="AD336" i="3" s="1"/>
  <c r="M336" i="3"/>
  <c r="N336" i="3" s="1"/>
  <c r="V336" i="3"/>
  <c r="A337" i="3"/>
  <c r="B337" i="3" s="1"/>
  <c r="W336" i="3" l="1"/>
  <c r="P337" i="3"/>
  <c r="Q337" i="3" s="1"/>
  <c r="R337" i="3" s="1"/>
  <c r="S337" i="3" s="1"/>
  <c r="AC337" i="3"/>
  <c r="AA337" i="3"/>
  <c r="Z337" i="3"/>
  <c r="L336" i="3"/>
  <c r="T337" i="3" l="1"/>
  <c r="U336" i="3"/>
  <c r="Y335" i="3"/>
  <c r="E337" i="3" l="1"/>
  <c r="H337" i="3" s="1"/>
  <c r="K337" i="3" s="1"/>
  <c r="AE337" i="3" s="1"/>
  <c r="AH337" i="3"/>
  <c r="AG337" i="3"/>
  <c r="D337" i="3"/>
  <c r="V337" i="3" l="1"/>
  <c r="A338" i="3"/>
  <c r="B338" i="3" s="1"/>
  <c r="F337" i="3"/>
  <c r="G337" i="3"/>
  <c r="I337" i="3" l="1"/>
  <c r="W337" i="3" s="1"/>
  <c r="J337" i="3"/>
  <c r="AD337" i="3" s="1"/>
  <c r="M337" i="3"/>
  <c r="N337" i="3" s="1"/>
  <c r="P338" i="3"/>
  <c r="Q338" i="3" s="1"/>
  <c r="R338" i="3" s="1"/>
  <c r="S338" i="3" s="1"/>
  <c r="Z338" i="3"/>
  <c r="AC338" i="3"/>
  <c r="AA338" i="3"/>
  <c r="T338" i="3" l="1"/>
  <c r="L337" i="3"/>
  <c r="AH338" i="3" l="1"/>
  <c r="U337" i="3"/>
  <c r="E338" i="3" s="1"/>
  <c r="H338" i="3" s="1"/>
  <c r="AG338" i="3"/>
  <c r="Y336" i="3"/>
  <c r="D338" i="3" l="1"/>
  <c r="F338" i="3" s="1"/>
  <c r="K338" i="3"/>
  <c r="AE338" i="3" s="1"/>
  <c r="G338" i="3" l="1"/>
  <c r="M338" i="3" s="1"/>
  <c r="N338" i="3" s="1"/>
  <c r="V338" i="3"/>
  <c r="A339" i="3"/>
  <c r="B339" i="3" s="1"/>
  <c r="I338" i="3" l="1"/>
  <c r="W338" i="3" s="1"/>
  <c r="J338" i="3"/>
  <c r="Z339" i="3"/>
  <c r="P339" i="3"/>
  <c r="Q339" i="3" s="1"/>
  <c r="R339" i="3" s="1"/>
  <c r="S339" i="3" s="1"/>
  <c r="AA339" i="3"/>
  <c r="AC339" i="3"/>
  <c r="L338" i="3" l="1"/>
  <c r="U338" i="3" s="1"/>
  <c r="AD338" i="3"/>
  <c r="T339" i="3"/>
  <c r="Y337" i="3" l="1"/>
  <c r="AG339" i="3"/>
  <c r="AH339" i="3"/>
  <c r="E339" i="3"/>
  <c r="H339" i="3" s="1"/>
  <c r="D339" i="3"/>
  <c r="K339" i="3" l="1"/>
  <c r="AE339" i="3" s="1"/>
  <c r="F339" i="3"/>
  <c r="G339" i="3"/>
  <c r="V339" i="3" l="1"/>
  <c r="A340" i="3"/>
  <c r="B340" i="3" s="1"/>
  <c r="I339" i="3"/>
  <c r="J339" i="3"/>
  <c r="AD339" i="3" s="1"/>
  <c r="M339" i="3"/>
  <c r="N339" i="3" s="1"/>
  <c r="W339" i="3" l="1"/>
  <c r="L339" i="3"/>
  <c r="Z340" i="3"/>
  <c r="P340" i="3"/>
  <c r="Q340" i="3" s="1"/>
  <c r="R340" i="3" s="1"/>
  <c r="S340" i="3" s="1"/>
  <c r="AC340" i="3"/>
  <c r="AA340" i="3"/>
  <c r="T340" i="3" l="1"/>
  <c r="U339" i="3"/>
  <c r="Y338" i="3"/>
  <c r="D340" i="3" l="1"/>
  <c r="G340" i="3" s="1"/>
  <c r="E340" i="3"/>
  <c r="H340" i="3" s="1"/>
  <c r="K340" i="3" s="1"/>
  <c r="AE340" i="3" s="1"/>
  <c r="AH340" i="3"/>
  <c r="AG340" i="3"/>
  <c r="F340" i="3" l="1"/>
  <c r="V340" i="3"/>
  <c r="A341" i="3"/>
  <c r="B341" i="3" s="1"/>
  <c r="I340" i="3"/>
  <c r="J340" i="3"/>
  <c r="AD340" i="3" s="1"/>
  <c r="M340" i="3"/>
  <c r="N340" i="3" s="1"/>
  <c r="W340" i="3" l="1"/>
  <c r="L340" i="3"/>
  <c r="Z341" i="3"/>
  <c r="P341" i="3"/>
  <c r="Q341" i="3" s="1"/>
  <c r="R341" i="3" s="1"/>
  <c r="S341" i="3" s="1"/>
  <c r="AA341" i="3"/>
  <c r="AC341" i="3"/>
  <c r="U340" i="3" l="1"/>
  <c r="Y339" i="3"/>
  <c r="T341" i="3"/>
  <c r="AG341" i="3" s="1"/>
  <c r="D341" i="3" l="1"/>
  <c r="AH341" i="3"/>
  <c r="E341" i="3"/>
  <c r="H341" i="3" s="1"/>
  <c r="F341" i="3" l="1"/>
  <c r="G341" i="3"/>
  <c r="K341" i="3"/>
  <c r="AE341" i="3" s="1"/>
  <c r="I341" i="3" l="1"/>
  <c r="J341" i="3"/>
  <c r="AD341" i="3" s="1"/>
  <c r="M341" i="3"/>
  <c r="N341" i="3" s="1"/>
  <c r="V341" i="3"/>
  <c r="A342" i="3"/>
  <c r="B342" i="3" s="1"/>
  <c r="L341" i="3" l="1"/>
  <c r="W341" i="3"/>
  <c r="Z342" i="3"/>
  <c r="P342" i="3"/>
  <c r="Q342" i="3" s="1"/>
  <c r="R342" i="3" s="1"/>
  <c r="S342" i="3" s="1"/>
  <c r="AA342" i="3"/>
  <c r="AC342" i="3"/>
  <c r="U341" i="3" l="1"/>
  <c r="Y340" i="3"/>
  <c r="T342" i="3"/>
  <c r="D342" i="3" l="1"/>
  <c r="G342" i="3" s="1"/>
  <c r="AH342" i="3"/>
  <c r="E342" i="3"/>
  <c r="H342" i="3" s="1"/>
  <c r="AG342" i="3"/>
  <c r="F342" i="3" l="1"/>
  <c r="I342" i="3"/>
  <c r="J342" i="3"/>
  <c r="AD342" i="3" s="1"/>
  <c r="M342" i="3"/>
  <c r="N342" i="3" s="1"/>
  <c r="K342" i="3"/>
  <c r="AE342" i="3" s="1"/>
  <c r="V342" i="3" l="1"/>
  <c r="W342" i="3" s="1"/>
  <c r="A343" i="3"/>
  <c r="B343" i="3" s="1"/>
  <c r="L342" i="3"/>
  <c r="U342" i="3" l="1"/>
  <c r="Y341" i="3"/>
  <c r="P343" i="3"/>
  <c r="Q343" i="3" s="1"/>
  <c r="R343" i="3" s="1"/>
  <c r="S343" i="3" s="1"/>
  <c r="AA343" i="3"/>
  <c r="Z343" i="3"/>
  <c r="AC343" i="3"/>
  <c r="T343" i="3" l="1"/>
  <c r="D343" i="3" s="1"/>
  <c r="E343" i="3" l="1"/>
  <c r="H343" i="3" s="1"/>
  <c r="K343" i="3" s="1"/>
  <c r="AE343" i="3" s="1"/>
  <c r="G343" i="3"/>
  <c r="AG343" i="3"/>
  <c r="AH343" i="3"/>
  <c r="F343" i="3" l="1"/>
  <c r="I343" i="3"/>
  <c r="J343" i="3"/>
  <c r="AD343" i="3" s="1"/>
  <c r="M343" i="3"/>
  <c r="N343" i="3" s="1"/>
  <c r="V343" i="3"/>
  <c r="A344" i="3"/>
  <c r="B344" i="3" s="1"/>
  <c r="W343" i="3" l="1"/>
  <c r="L343" i="3"/>
  <c r="AA344" i="3"/>
  <c r="Z344" i="3"/>
  <c r="P344" i="3"/>
  <c r="Q344" i="3" s="1"/>
  <c r="R344" i="3" s="1"/>
  <c r="S344" i="3" s="1"/>
  <c r="AC344" i="3"/>
  <c r="U343" i="3" l="1"/>
  <c r="Y342" i="3"/>
  <c r="T344" i="3"/>
  <c r="AH344" i="3" s="1"/>
  <c r="AG344" i="3" l="1"/>
  <c r="E344" i="3"/>
  <c r="H344" i="3" s="1"/>
  <c r="D344" i="3"/>
  <c r="F344" i="3" l="1"/>
  <c r="G344" i="3"/>
  <c r="K344" i="3"/>
  <c r="AE344" i="3" s="1"/>
  <c r="I344" i="3" l="1"/>
  <c r="J344" i="3"/>
  <c r="AD344" i="3" s="1"/>
  <c r="M344" i="3"/>
  <c r="N344" i="3" s="1"/>
  <c r="V344" i="3"/>
  <c r="A345" i="3"/>
  <c r="B345" i="3" s="1"/>
  <c r="W344" i="3" l="1"/>
  <c r="P345" i="3"/>
  <c r="Q345" i="3" s="1"/>
  <c r="R345" i="3" s="1"/>
  <c r="S345" i="3" s="1"/>
  <c r="Z345" i="3"/>
  <c r="AC345" i="3"/>
  <c r="AD345" i="3"/>
  <c r="AA345" i="3"/>
  <c r="L344" i="3"/>
  <c r="T345" i="3" l="1"/>
  <c r="U344" i="3"/>
  <c r="Y343" i="3"/>
  <c r="E345" i="3" l="1"/>
  <c r="H345" i="3" s="1"/>
  <c r="K345" i="3" s="1"/>
  <c r="AE345" i="3" s="1"/>
  <c r="AH345" i="3"/>
  <c r="D345" i="3"/>
  <c r="AG345" i="3"/>
  <c r="F345" i="3" l="1"/>
  <c r="G345" i="3"/>
  <c r="V345" i="3"/>
  <c r="A346" i="3"/>
  <c r="B346" i="3" s="1"/>
  <c r="AD346" i="3" l="1"/>
  <c r="AC346" i="3"/>
  <c r="P346" i="3"/>
  <c r="Q346" i="3" s="1"/>
  <c r="R346" i="3" s="1"/>
  <c r="S346" i="3" s="1"/>
  <c r="AA346" i="3"/>
  <c r="Z346" i="3"/>
  <c r="I345" i="3"/>
  <c r="W345" i="3" s="1"/>
  <c r="J345" i="3"/>
  <c r="M345" i="3"/>
  <c r="N345" i="3" s="1"/>
  <c r="L345" i="3" l="1"/>
  <c r="T346" i="3"/>
  <c r="AH346" i="3" l="1"/>
  <c r="AG346" i="3"/>
  <c r="U345" i="3"/>
  <c r="D346" i="3" s="1"/>
  <c r="Y344" i="3"/>
  <c r="G346" i="3" l="1"/>
  <c r="E346" i="3"/>
  <c r="H346" i="3" s="1"/>
  <c r="F346" i="3" l="1"/>
  <c r="I346" i="3"/>
  <c r="J346" i="3"/>
  <c r="M346" i="3"/>
  <c r="N346" i="3" s="1"/>
  <c r="K346" i="3"/>
  <c r="AE346" i="3" s="1"/>
  <c r="V346" i="3" l="1"/>
  <c r="W346" i="3" s="1"/>
  <c r="A347" i="3"/>
  <c r="B347" i="3" s="1"/>
  <c r="L346" i="3"/>
  <c r="U346" i="3" l="1"/>
  <c r="Y345" i="3"/>
  <c r="AC347" i="3"/>
  <c r="Z347" i="3"/>
  <c r="AA347" i="3"/>
  <c r="P347" i="3"/>
  <c r="Q347" i="3" s="1"/>
  <c r="R347" i="3" s="1"/>
  <c r="S347" i="3" s="1"/>
  <c r="AD347" i="3"/>
  <c r="T347" i="3" l="1"/>
  <c r="E347" i="3" s="1"/>
  <c r="H347" i="3" s="1"/>
  <c r="K347" i="3" l="1"/>
  <c r="AE347" i="3" s="1"/>
  <c r="AH347" i="3"/>
  <c r="AG347" i="3"/>
  <c r="D347" i="3"/>
  <c r="F347" i="3" l="1"/>
  <c r="G347" i="3"/>
  <c r="V347" i="3"/>
  <c r="A348" i="3"/>
  <c r="B348" i="3" s="1"/>
  <c r="I347" i="3" l="1"/>
  <c r="W347" i="3" s="1"/>
  <c r="J347" i="3"/>
  <c r="M347" i="3"/>
  <c r="N347" i="3" s="1"/>
  <c r="AC348" i="3"/>
  <c r="AA348" i="3"/>
  <c r="P348" i="3"/>
  <c r="Q348" i="3" s="1"/>
  <c r="R348" i="3" s="1"/>
  <c r="S348" i="3" s="1"/>
  <c r="AD348" i="3"/>
  <c r="Z348" i="3"/>
  <c r="L347" i="3" l="1"/>
  <c r="T348" i="3"/>
  <c r="U347" i="3" l="1"/>
  <c r="D348" i="3" s="1"/>
  <c r="AH348" i="3"/>
  <c r="AG348" i="3"/>
  <c r="Y346" i="3"/>
  <c r="E348" i="3" l="1"/>
  <c r="H348" i="3" s="1"/>
  <c r="K348" i="3" s="1"/>
  <c r="AE348" i="3" s="1"/>
  <c r="G348" i="3"/>
  <c r="F348" i="3" l="1"/>
  <c r="I348" i="3"/>
  <c r="J348" i="3"/>
  <c r="M348" i="3"/>
  <c r="N348" i="3" s="1"/>
  <c r="V348" i="3"/>
  <c r="A349" i="3"/>
  <c r="B349" i="3" s="1"/>
  <c r="W348" i="3" l="1"/>
  <c r="L348" i="3"/>
  <c r="AC349" i="3"/>
  <c r="P349" i="3"/>
  <c r="Q349" i="3" s="1"/>
  <c r="R349" i="3" s="1"/>
  <c r="S349" i="3" s="1"/>
  <c r="AA349" i="3"/>
  <c r="Z349" i="3"/>
  <c r="AD349" i="3"/>
  <c r="U348" i="3" l="1"/>
  <c r="Y347" i="3"/>
  <c r="T349" i="3"/>
  <c r="AG349" i="3" s="1"/>
  <c r="E349" i="3" l="1"/>
  <c r="H349" i="3" s="1"/>
  <c r="K349" i="3" s="1"/>
  <c r="AE349" i="3" s="1"/>
  <c r="D349" i="3"/>
  <c r="AH349" i="3"/>
  <c r="V349" i="3" l="1"/>
  <c r="A350" i="3"/>
  <c r="B350" i="3" s="1"/>
  <c r="F349" i="3"/>
  <c r="G349" i="3"/>
  <c r="I349" i="3" l="1"/>
  <c r="W349" i="3" s="1"/>
  <c r="J349" i="3"/>
  <c r="M349" i="3"/>
  <c r="N349" i="3" s="1"/>
  <c r="AD350" i="3"/>
  <c r="P350" i="3"/>
  <c r="Q350" i="3" s="1"/>
  <c r="R350" i="3" s="1"/>
  <c r="S350" i="3" s="1"/>
  <c r="Z350" i="3"/>
  <c r="AC350" i="3"/>
  <c r="AA350" i="3"/>
  <c r="T350" i="3" l="1"/>
  <c r="L349" i="3"/>
  <c r="U349" i="3" l="1"/>
  <c r="D350" i="3" s="1"/>
  <c r="AG350" i="3"/>
  <c r="AH350" i="3"/>
  <c r="Y348" i="3"/>
  <c r="E350" i="3" l="1"/>
  <c r="H350" i="3" s="1"/>
  <c r="K350" i="3" s="1"/>
  <c r="AE350" i="3" s="1"/>
  <c r="G350" i="3"/>
  <c r="F350" i="3" l="1"/>
  <c r="V350" i="3"/>
  <c r="A351" i="3"/>
  <c r="B351" i="3" s="1"/>
  <c r="I350" i="3"/>
  <c r="J350" i="3"/>
  <c r="M350" i="3"/>
  <c r="N350" i="3" s="1"/>
  <c r="W350" i="3" l="1"/>
  <c r="L350" i="3"/>
  <c r="AA351" i="3"/>
  <c r="P351" i="3"/>
  <c r="Q351" i="3" s="1"/>
  <c r="R351" i="3" s="1"/>
  <c r="S351" i="3" s="1"/>
  <c r="Z351" i="3"/>
  <c r="AC351" i="3"/>
  <c r="AD351" i="3"/>
  <c r="U350" i="3" l="1"/>
  <c r="Y349" i="3"/>
  <c r="T351" i="3"/>
  <c r="D351" i="3" l="1"/>
  <c r="G351" i="3" s="1"/>
  <c r="AH351" i="3"/>
  <c r="E351" i="3"/>
  <c r="H351" i="3" s="1"/>
  <c r="K351" i="3" s="1"/>
  <c r="AE351" i="3" s="1"/>
  <c r="AG351" i="3"/>
  <c r="F351" i="3" l="1"/>
  <c r="V351" i="3"/>
  <c r="A352" i="3"/>
  <c r="B352" i="3" s="1"/>
  <c r="I351" i="3"/>
  <c r="J351" i="3"/>
  <c r="M351" i="3"/>
  <c r="N351" i="3" s="1"/>
  <c r="L351" i="3" l="1"/>
  <c r="W351" i="3"/>
  <c r="AC352" i="3"/>
  <c r="AD352" i="3"/>
  <c r="P352" i="3"/>
  <c r="Q352" i="3" s="1"/>
  <c r="R352" i="3" s="1"/>
  <c r="S352" i="3" s="1"/>
  <c r="AA352" i="3"/>
  <c r="Z352" i="3"/>
  <c r="U351" i="3" l="1"/>
  <c r="Y350" i="3"/>
  <c r="T352" i="3"/>
  <c r="E352" i="3" l="1"/>
  <c r="H352" i="3" s="1"/>
  <c r="K352" i="3" s="1"/>
  <c r="AE352" i="3" s="1"/>
  <c r="AH352" i="3"/>
  <c r="D352" i="3"/>
  <c r="AG352" i="3"/>
  <c r="F352" i="3" l="1"/>
  <c r="G352" i="3"/>
  <c r="V352" i="3"/>
  <c r="A353" i="3"/>
  <c r="B353" i="3" s="1"/>
  <c r="AC353" i="3" l="1"/>
  <c r="AD353" i="3"/>
  <c r="AA353" i="3"/>
  <c r="P353" i="3"/>
  <c r="Q353" i="3" s="1"/>
  <c r="R353" i="3" s="1"/>
  <c r="S353" i="3" s="1"/>
  <c r="Z353" i="3"/>
  <c r="I352" i="3"/>
  <c r="W352" i="3" s="1"/>
  <c r="J352" i="3"/>
  <c r="M352" i="3"/>
  <c r="N352" i="3" s="1"/>
  <c r="T353" i="3" l="1"/>
  <c r="L352" i="3"/>
  <c r="U352" i="3" l="1"/>
  <c r="D353" i="3" s="1"/>
  <c r="AH353" i="3"/>
  <c r="AG353" i="3"/>
  <c r="Y351" i="3"/>
  <c r="E353" i="3" l="1"/>
  <c r="H353" i="3" s="1"/>
  <c r="K353" i="3" s="1"/>
  <c r="AE353" i="3" s="1"/>
  <c r="G353" i="3"/>
  <c r="F353" i="3" l="1"/>
  <c r="I353" i="3"/>
  <c r="J353" i="3"/>
  <c r="M353" i="3"/>
  <c r="N353" i="3" s="1"/>
  <c r="V353" i="3"/>
  <c r="A354" i="3"/>
  <c r="B354" i="3" s="1"/>
  <c r="W353" i="3" l="1"/>
  <c r="L353" i="3"/>
  <c r="P354" i="3"/>
  <c r="Q354" i="3" s="1"/>
  <c r="R354" i="3" s="1"/>
  <c r="S354" i="3" s="1"/>
  <c r="AC354" i="3"/>
  <c r="Z354" i="3"/>
  <c r="AA354" i="3"/>
  <c r="U353" i="3" l="1"/>
  <c r="Y352" i="3"/>
  <c r="T354" i="3"/>
  <c r="AG354" i="3" s="1"/>
  <c r="D354" i="3" l="1"/>
  <c r="AH354" i="3"/>
  <c r="E354" i="3"/>
  <c r="H354" i="3" s="1"/>
  <c r="F354" i="3" l="1"/>
  <c r="G354" i="3"/>
  <c r="K354" i="3"/>
  <c r="AE354" i="3" s="1"/>
  <c r="V354" i="3" l="1"/>
  <c r="A355" i="3"/>
  <c r="B355" i="3" s="1"/>
  <c r="I354" i="3"/>
  <c r="J354" i="3"/>
  <c r="AD354" i="3" s="1"/>
  <c r="M354" i="3"/>
  <c r="N354" i="3" s="1"/>
  <c r="W354" i="3" l="1"/>
  <c r="L354" i="3"/>
  <c r="AA355" i="3"/>
  <c r="AC355" i="3"/>
  <c r="Z355" i="3"/>
  <c r="P355" i="3"/>
  <c r="Q355" i="3" s="1"/>
  <c r="R355" i="3" s="1"/>
  <c r="S355" i="3" s="1"/>
  <c r="T355" i="3" l="1"/>
  <c r="U354" i="3"/>
  <c r="Y353" i="3"/>
  <c r="D355" i="3" l="1"/>
  <c r="G355" i="3" s="1"/>
  <c r="AG355" i="3"/>
  <c r="E355" i="3"/>
  <c r="H355" i="3" s="1"/>
  <c r="K355" i="3" s="1"/>
  <c r="AE355" i="3" s="1"/>
  <c r="AH355" i="3"/>
  <c r="F355" i="3" l="1"/>
  <c r="V355" i="3"/>
  <c r="A356" i="3"/>
  <c r="B356" i="3" s="1"/>
  <c r="I355" i="3"/>
  <c r="J355" i="3"/>
  <c r="AD355" i="3" s="1"/>
  <c r="M355" i="3"/>
  <c r="N355" i="3" s="1"/>
  <c r="W355" i="3" l="1"/>
  <c r="L355" i="3"/>
  <c r="P356" i="3"/>
  <c r="Q356" i="3" s="1"/>
  <c r="R356" i="3" s="1"/>
  <c r="S356" i="3" s="1"/>
  <c r="AA356" i="3"/>
  <c r="Z356" i="3"/>
  <c r="AC356" i="3"/>
  <c r="U355" i="3" l="1"/>
  <c r="Y354" i="3"/>
  <c r="T356" i="3"/>
  <c r="AG356" i="3" s="1"/>
  <c r="AH356" i="3" l="1"/>
  <c r="D356" i="3"/>
  <c r="E356" i="3"/>
  <c r="H356" i="3" s="1"/>
  <c r="K356" i="3" s="1"/>
  <c r="AE356" i="3" s="1"/>
  <c r="F356" i="3" l="1"/>
  <c r="G356" i="3"/>
  <c r="M356" i="3" s="1"/>
  <c r="N356" i="3" s="1"/>
  <c r="V356" i="3"/>
  <c r="A357" i="3"/>
  <c r="B357" i="3" s="1"/>
  <c r="I356" i="3" l="1"/>
  <c r="W356" i="3" s="1"/>
  <c r="J356" i="3"/>
  <c r="Z357" i="3"/>
  <c r="P357" i="3"/>
  <c r="Q357" i="3" s="1"/>
  <c r="R357" i="3" s="1"/>
  <c r="S357" i="3" s="1"/>
  <c r="AC357" i="3"/>
  <c r="AA357" i="3"/>
  <c r="L356" i="3" l="1"/>
  <c r="U356" i="3" s="1"/>
  <c r="AD356" i="3"/>
  <c r="T357" i="3"/>
  <c r="Y355" i="3" l="1"/>
  <c r="AG357" i="3"/>
  <c r="AH357" i="3"/>
  <c r="E357" i="3"/>
  <c r="H357" i="3" s="1"/>
  <c r="D357" i="3"/>
  <c r="F357" i="3" l="1"/>
  <c r="G357" i="3"/>
  <c r="K357" i="3"/>
  <c r="AE357" i="3" s="1"/>
  <c r="V357" i="3" l="1"/>
  <c r="A358" i="3"/>
  <c r="B358" i="3" s="1"/>
  <c r="I357" i="3"/>
  <c r="J357" i="3"/>
  <c r="AD357" i="3" s="1"/>
  <c r="M357" i="3"/>
  <c r="N357" i="3" s="1"/>
  <c r="W357" i="3" l="1"/>
  <c r="L357" i="3"/>
  <c r="P358" i="3"/>
  <c r="Q358" i="3" s="1"/>
  <c r="R358" i="3" s="1"/>
  <c r="S358" i="3" s="1"/>
  <c r="Z358" i="3"/>
  <c r="AA358" i="3"/>
  <c r="AC358" i="3"/>
  <c r="T358" i="3" l="1"/>
  <c r="AH358" i="3" s="1"/>
  <c r="U357" i="3"/>
  <c r="Y356" i="3"/>
  <c r="D358" i="3" l="1"/>
  <c r="G358" i="3" s="1"/>
  <c r="E358" i="3"/>
  <c r="H358" i="3" s="1"/>
  <c r="AG358" i="3"/>
  <c r="I358" i="3" l="1"/>
  <c r="J358" i="3"/>
  <c r="AD358" i="3" s="1"/>
  <c r="M358" i="3"/>
  <c r="N358" i="3" s="1"/>
  <c r="F358" i="3"/>
  <c r="K358" i="3"/>
  <c r="AE358" i="3" s="1"/>
  <c r="V358" i="3" l="1"/>
  <c r="W358" i="3" s="1"/>
  <c r="A359" i="3"/>
  <c r="B359" i="3" s="1"/>
  <c r="L358" i="3"/>
  <c r="U358" i="3" l="1"/>
  <c r="Y357" i="3"/>
  <c r="P359" i="3"/>
  <c r="Q359" i="3" s="1"/>
  <c r="R359" i="3" s="1"/>
  <c r="S359" i="3" s="1"/>
  <c r="AC359" i="3"/>
  <c r="AA359" i="3"/>
  <c r="Z359" i="3"/>
  <c r="T359" i="3" l="1"/>
  <c r="AG359" i="3" s="1"/>
  <c r="AH359" i="3" l="1"/>
  <c r="E359" i="3"/>
  <c r="H359" i="3" s="1"/>
  <c r="D359" i="3"/>
  <c r="K359" i="3" l="1"/>
  <c r="AE359" i="3" s="1"/>
  <c r="F359" i="3"/>
  <c r="G359" i="3"/>
  <c r="I359" i="3" l="1"/>
  <c r="J359" i="3"/>
  <c r="AD359" i="3" s="1"/>
  <c r="M359" i="3"/>
  <c r="N359" i="3" s="1"/>
  <c r="V359" i="3"/>
  <c r="A360" i="3"/>
  <c r="B360" i="3" s="1"/>
  <c r="W359" i="3" l="1"/>
  <c r="L359" i="3"/>
  <c r="AC360" i="3"/>
  <c r="AA360" i="3"/>
  <c r="P360" i="3"/>
  <c r="Q360" i="3" s="1"/>
  <c r="R360" i="3" s="1"/>
  <c r="S360" i="3" s="1"/>
  <c r="Z360" i="3"/>
  <c r="T360" i="3" l="1"/>
  <c r="AH360" i="3" s="1"/>
  <c r="U359" i="3"/>
  <c r="Y358" i="3"/>
  <c r="E360" i="3" l="1"/>
  <c r="H360" i="3" s="1"/>
  <c r="K360" i="3" s="1"/>
  <c r="AE360" i="3" s="1"/>
  <c r="AG360" i="3"/>
  <c r="D360" i="3"/>
  <c r="F360" i="3" l="1"/>
  <c r="G360" i="3"/>
  <c r="V360" i="3"/>
  <c r="A361" i="3"/>
  <c r="B361" i="3" s="1"/>
  <c r="Z361" i="3" l="1"/>
  <c r="P361" i="3"/>
  <c r="Q361" i="3" s="1"/>
  <c r="R361" i="3" s="1"/>
  <c r="S361" i="3" s="1"/>
  <c r="AC361" i="3"/>
  <c r="AA361" i="3"/>
  <c r="I360" i="3"/>
  <c r="W360" i="3" s="1"/>
  <c r="J360" i="3"/>
  <c r="AD360" i="3" s="1"/>
  <c r="M360" i="3"/>
  <c r="N360" i="3" s="1"/>
  <c r="T361" i="3" l="1"/>
  <c r="L360" i="3"/>
  <c r="AG361" i="3" l="1"/>
  <c r="AH361" i="3"/>
  <c r="U360" i="3"/>
  <c r="E361" i="3" s="1"/>
  <c r="H361" i="3" s="1"/>
  <c r="Y359" i="3"/>
  <c r="D361" i="3" l="1"/>
  <c r="G361" i="3" s="1"/>
  <c r="K361" i="3"/>
  <c r="AE361" i="3" s="1"/>
  <c r="F361" i="3" l="1"/>
  <c r="I361" i="3"/>
  <c r="J361" i="3"/>
  <c r="AD361" i="3" s="1"/>
  <c r="M361" i="3"/>
  <c r="N361" i="3" s="1"/>
  <c r="V361" i="3"/>
  <c r="A362" i="3"/>
  <c r="B362" i="3" s="1"/>
  <c r="W361" i="3" l="1"/>
  <c r="L361" i="3"/>
  <c r="AC362" i="3"/>
  <c r="Z362" i="3"/>
  <c r="P362" i="3"/>
  <c r="Q362" i="3" s="1"/>
  <c r="R362" i="3" s="1"/>
  <c r="S362" i="3" s="1"/>
  <c r="AA362" i="3"/>
  <c r="U361" i="3" l="1"/>
  <c r="Y360" i="3"/>
  <c r="T362" i="3"/>
  <c r="AH362" i="3" s="1"/>
  <c r="D362" i="3" l="1"/>
  <c r="G362" i="3" s="1"/>
  <c r="E362" i="3"/>
  <c r="H362" i="3" s="1"/>
  <c r="K362" i="3" s="1"/>
  <c r="AE362" i="3" s="1"/>
  <c r="AG362" i="3"/>
  <c r="F362" i="3" l="1"/>
  <c r="I362" i="3"/>
  <c r="J362" i="3"/>
  <c r="AD362" i="3" s="1"/>
  <c r="M362" i="3"/>
  <c r="N362" i="3" s="1"/>
  <c r="V362" i="3"/>
  <c r="A363" i="3"/>
  <c r="B363" i="3" s="1"/>
  <c r="W362" i="3" l="1"/>
  <c r="L362" i="3"/>
  <c r="P363" i="3"/>
  <c r="Q363" i="3" s="1"/>
  <c r="R363" i="3" s="1"/>
  <c r="S363" i="3" s="1"/>
  <c r="AA363" i="3"/>
  <c r="Z363" i="3"/>
  <c r="AC363" i="3"/>
  <c r="T363" i="3" l="1"/>
  <c r="U362" i="3"/>
  <c r="Y361" i="3"/>
  <c r="E363" i="3" l="1"/>
  <c r="H363" i="3" s="1"/>
  <c r="K363" i="3" s="1"/>
  <c r="AE363" i="3" s="1"/>
  <c r="AH363" i="3"/>
  <c r="D363" i="3"/>
  <c r="AG363" i="3"/>
  <c r="F363" i="3" l="1"/>
  <c r="G363" i="3"/>
  <c r="M363" i="3" s="1"/>
  <c r="N363" i="3" s="1"/>
  <c r="V363" i="3"/>
  <c r="A364" i="3"/>
  <c r="B364" i="3" s="1"/>
  <c r="I363" i="3" l="1"/>
  <c r="W363" i="3" s="1"/>
  <c r="J363" i="3"/>
  <c r="P364" i="3"/>
  <c r="Q364" i="3" s="1"/>
  <c r="R364" i="3" s="1"/>
  <c r="S364" i="3" s="1"/>
  <c r="Z364" i="3"/>
  <c r="AC364" i="3"/>
  <c r="AA364" i="3"/>
  <c r="L363" i="3" l="1"/>
  <c r="U363" i="3" s="1"/>
  <c r="AD363" i="3"/>
  <c r="T364" i="3"/>
  <c r="Y362" i="3" l="1"/>
  <c r="D364" i="3"/>
  <c r="G364" i="3" s="1"/>
  <c r="E364" i="3"/>
  <c r="H364" i="3" s="1"/>
  <c r="K364" i="3" s="1"/>
  <c r="AE364" i="3" s="1"/>
  <c r="AG364" i="3"/>
  <c r="AH364" i="3"/>
  <c r="F364" i="3" l="1"/>
  <c r="V364" i="3"/>
  <c r="A365" i="3"/>
  <c r="B365" i="3" s="1"/>
  <c r="I364" i="3"/>
  <c r="J364" i="3"/>
  <c r="AD364" i="3" s="1"/>
  <c r="M364" i="3"/>
  <c r="N364" i="3" s="1"/>
  <c r="W364" i="3" l="1"/>
  <c r="L364" i="3"/>
  <c r="AC365" i="3"/>
  <c r="P365" i="3"/>
  <c r="Q365" i="3" s="1"/>
  <c r="R365" i="3" s="1"/>
  <c r="S365" i="3" s="1"/>
  <c r="AA365" i="3"/>
  <c r="Z365" i="3"/>
  <c r="U364" i="3" l="1"/>
  <c r="Y363" i="3"/>
  <c r="T365" i="3"/>
  <c r="AH365" i="3" s="1"/>
  <c r="D365" i="3" l="1"/>
  <c r="G365" i="3" s="1"/>
  <c r="AG365" i="3"/>
  <c r="E365" i="3"/>
  <c r="H365" i="3" s="1"/>
  <c r="K365" i="3" s="1"/>
  <c r="AE365" i="3" s="1"/>
  <c r="F365" i="3" l="1"/>
  <c r="I365" i="3"/>
  <c r="J365" i="3"/>
  <c r="AD365" i="3" s="1"/>
  <c r="M365" i="3"/>
  <c r="N365" i="3" s="1"/>
  <c r="V365" i="3"/>
  <c r="A366" i="3"/>
  <c r="B366" i="3" s="1"/>
  <c r="W365" i="3" l="1"/>
  <c r="L365" i="3"/>
  <c r="AC366" i="3"/>
  <c r="P366" i="3"/>
  <c r="Q366" i="3" s="1"/>
  <c r="R366" i="3" s="1"/>
  <c r="S366" i="3" s="1"/>
  <c r="AA366" i="3"/>
  <c r="Z366" i="3"/>
  <c r="U365" i="3" l="1"/>
  <c r="Y364" i="3"/>
  <c r="T366" i="3"/>
  <c r="E366" i="3" l="1"/>
  <c r="H366" i="3" s="1"/>
  <c r="K366" i="3" s="1"/>
  <c r="AE366" i="3" s="1"/>
  <c r="AH366" i="3"/>
  <c r="D366" i="3"/>
  <c r="G366" i="3" s="1"/>
  <c r="AG366" i="3"/>
  <c r="F366" i="3" l="1"/>
  <c r="V366" i="3"/>
  <c r="A367" i="3"/>
  <c r="B367" i="3" s="1"/>
  <c r="I366" i="3"/>
  <c r="J366" i="3"/>
  <c r="AD366" i="3" s="1"/>
  <c r="M366" i="3"/>
  <c r="N366" i="3" s="1"/>
  <c r="W366" i="3" l="1"/>
  <c r="L366" i="3"/>
  <c r="Z367" i="3"/>
  <c r="P367" i="3"/>
  <c r="Q367" i="3" s="1"/>
  <c r="R367" i="3" s="1"/>
  <c r="S367" i="3" s="1"/>
  <c r="AC367" i="3"/>
  <c r="AA367" i="3"/>
  <c r="T367" i="3" l="1"/>
  <c r="AG367" i="3" s="1"/>
  <c r="U366" i="3"/>
  <c r="Y365" i="3"/>
  <c r="D367" i="3" l="1"/>
  <c r="AH367" i="3"/>
  <c r="E367" i="3"/>
  <c r="H367" i="3" s="1"/>
  <c r="F367" i="3" l="1"/>
  <c r="G367" i="3"/>
  <c r="K367" i="3"/>
  <c r="AE367" i="3" s="1"/>
  <c r="I367" i="3" l="1"/>
  <c r="J367" i="3"/>
  <c r="AD367" i="3" s="1"/>
  <c r="M367" i="3"/>
  <c r="N367" i="3" s="1"/>
  <c r="V367" i="3"/>
  <c r="A368" i="3"/>
  <c r="B368" i="3" s="1"/>
  <c r="L367" i="3" l="1"/>
  <c r="W367" i="3"/>
  <c r="Z368" i="3"/>
  <c r="P368" i="3"/>
  <c r="Q368" i="3" s="1"/>
  <c r="R368" i="3" s="1"/>
  <c r="S368" i="3" s="1"/>
  <c r="AC368" i="3"/>
  <c r="AA368" i="3"/>
  <c r="T368" i="3" l="1"/>
  <c r="AH368" i="3" s="1"/>
  <c r="U367" i="3"/>
  <c r="Y366" i="3"/>
  <c r="E368" i="3" l="1"/>
  <c r="H368" i="3" s="1"/>
  <c r="K368" i="3" s="1"/>
  <c r="AE368" i="3" s="1"/>
  <c r="D368" i="3"/>
  <c r="AG368" i="3"/>
  <c r="V368" i="3" l="1"/>
  <c r="A369" i="3"/>
  <c r="B369" i="3" s="1"/>
  <c r="F368" i="3"/>
  <c r="G368" i="3"/>
  <c r="I368" i="3" l="1"/>
  <c r="W368" i="3" s="1"/>
  <c r="J368" i="3"/>
  <c r="AD368" i="3" s="1"/>
  <c r="M368" i="3"/>
  <c r="N368" i="3" s="1"/>
  <c r="Z369" i="3"/>
  <c r="AC369" i="3"/>
  <c r="P369" i="3"/>
  <c r="Q369" i="3" s="1"/>
  <c r="R369" i="3" s="1"/>
  <c r="S369" i="3" s="1"/>
  <c r="AA369" i="3"/>
  <c r="T369" i="3" l="1"/>
  <c r="L368" i="3"/>
  <c r="AH369" i="3" l="1"/>
  <c r="AG369" i="3"/>
  <c r="U368" i="3"/>
  <c r="E369" i="3" s="1"/>
  <c r="H369" i="3" s="1"/>
  <c r="Y367" i="3"/>
  <c r="D369" i="3" l="1"/>
  <c r="F369" i="3" s="1"/>
  <c r="K369" i="3"/>
  <c r="AE369" i="3" s="1"/>
  <c r="G369" i="3" l="1"/>
  <c r="M369" i="3" s="1"/>
  <c r="N369" i="3" s="1"/>
  <c r="V369" i="3"/>
  <c r="A370" i="3"/>
  <c r="B370" i="3" s="1"/>
  <c r="J369" i="3" l="1"/>
  <c r="I369" i="3"/>
  <c r="W369" i="3" s="1"/>
  <c r="AA370" i="3"/>
  <c r="P370" i="3"/>
  <c r="Q370" i="3" s="1"/>
  <c r="R370" i="3" s="1"/>
  <c r="S370" i="3" s="1"/>
  <c r="AC370" i="3"/>
  <c r="Z370" i="3"/>
  <c r="L369" i="3" l="1"/>
  <c r="U369" i="3" s="1"/>
  <c r="AD369" i="3"/>
  <c r="T370" i="3"/>
  <c r="AG370" i="3" l="1"/>
  <c r="Y368" i="3"/>
  <c r="E370" i="3"/>
  <c r="H370" i="3" s="1"/>
  <c r="K370" i="3" s="1"/>
  <c r="AE370" i="3" s="1"/>
  <c r="AH370" i="3"/>
  <c r="D370" i="3"/>
  <c r="F370" i="3" l="1"/>
  <c r="G370" i="3"/>
  <c r="M370" i="3" s="1"/>
  <c r="N370" i="3" s="1"/>
  <c r="V370" i="3"/>
  <c r="A371" i="3"/>
  <c r="B371" i="3" s="1"/>
  <c r="I370" i="3" l="1"/>
  <c r="W370" i="3" s="1"/>
  <c r="J370" i="3"/>
  <c r="AC371" i="3"/>
  <c r="P371" i="3"/>
  <c r="Q371" i="3" s="1"/>
  <c r="R371" i="3" s="1"/>
  <c r="S371" i="3" s="1"/>
  <c r="AA371" i="3"/>
  <c r="Z371" i="3"/>
  <c r="L370" i="3" l="1"/>
  <c r="U370" i="3" s="1"/>
  <c r="AD370" i="3"/>
  <c r="T371" i="3"/>
  <c r="Y369" i="3" l="1"/>
  <c r="AG371" i="3"/>
  <c r="E371" i="3"/>
  <c r="H371" i="3" s="1"/>
  <c r="K371" i="3" s="1"/>
  <c r="AE371" i="3" s="1"/>
  <c r="D371" i="3"/>
  <c r="AH371" i="3"/>
  <c r="V371" i="3" l="1"/>
  <c r="A372" i="3"/>
  <c r="B372" i="3" s="1"/>
  <c r="F371" i="3"/>
  <c r="G371" i="3"/>
  <c r="I371" i="3" l="1"/>
  <c r="W371" i="3" s="1"/>
  <c r="J371" i="3"/>
  <c r="AD371" i="3" s="1"/>
  <c r="M371" i="3"/>
  <c r="N371" i="3" s="1"/>
  <c r="P372" i="3"/>
  <c r="Q372" i="3" s="1"/>
  <c r="R372" i="3" s="1"/>
  <c r="S372" i="3" s="1"/>
  <c r="AA372" i="3"/>
  <c r="AC372" i="3"/>
  <c r="Z372" i="3"/>
  <c r="L371" i="3" l="1"/>
  <c r="T372" i="3"/>
  <c r="U371" i="3" l="1"/>
  <c r="E372" i="3" s="1"/>
  <c r="H372" i="3" s="1"/>
  <c r="AG372" i="3"/>
  <c r="AH372" i="3"/>
  <c r="Y370" i="3"/>
  <c r="D372" i="3" l="1"/>
  <c r="F372" i="3" s="1"/>
  <c r="K372" i="3"/>
  <c r="AE372" i="3" s="1"/>
  <c r="G372" i="3" l="1"/>
  <c r="M372" i="3" s="1"/>
  <c r="N372" i="3" s="1"/>
  <c r="V372" i="3"/>
  <c r="A373" i="3"/>
  <c r="B373" i="3" s="1"/>
  <c r="J372" i="3" l="1"/>
  <c r="I372" i="3"/>
  <c r="W372" i="3" s="1"/>
  <c r="Z373" i="3"/>
  <c r="AC373" i="3"/>
  <c r="P373" i="3"/>
  <c r="Q373" i="3" s="1"/>
  <c r="R373" i="3" s="1"/>
  <c r="S373" i="3" s="1"/>
  <c r="AA373" i="3"/>
  <c r="L372" i="3" l="1"/>
  <c r="U372" i="3" s="1"/>
  <c r="AD372" i="3"/>
  <c r="T373" i="3"/>
  <c r="AH373" i="3" l="1"/>
  <c r="Y371" i="3"/>
  <c r="D373" i="3"/>
  <c r="G373" i="3" s="1"/>
  <c r="E373" i="3"/>
  <c r="H373" i="3" s="1"/>
  <c r="AG373" i="3"/>
  <c r="F373" i="3" l="1"/>
  <c r="I373" i="3"/>
  <c r="J373" i="3"/>
  <c r="AD373" i="3" s="1"/>
  <c r="M373" i="3"/>
  <c r="N373" i="3" s="1"/>
  <c r="K373" i="3"/>
  <c r="AE373" i="3" s="1"/>
  <c r="V373" i="3" l="1"/>
  <c r="W373" i="3" s="1"/>
  <c r="A374" i="3"/>
  <c r="B374" i="3" s="1"/>
  <c r="L373" i="3"/>
  <c r="U373" i="3" l="1"/>
  <c r="Y372" i="3"/>
  <c r="AA374" i="3"/>
  <c r="AC374" i="3"/>
  <c r="Z374" i="3"/>
  <c r="P374" i="3"/>
  <c r="Q374" i="3" s="1"/>
  <c r="R374" i="3" s="1"/>
  <c r="S374" i="3" s="1"/>
  <c r="T374" i="3" l="1"/>
  <c r="AH374" i="3" s="1"/>
  <c r="AG374" i="3" l="1"/>
  <c r="E374" i="3"/>
  <c r="H374" i="3" s="1"/>
  <c r="K374" i="3" s="1"/>
  <c r="AE374" i="3" s="1"/>
  <c r="D374" i="3"/>
  <c r="F374" i="3" l="1"/>
  <c r="G374" i="3"/>
  <c r="I374" i="3" s="1"/>
  <c r="V374" i="3"/>
  <c r="A375" i="3"/>
  <c r="B375" i="3" s="1"/>
  <c r="J374" i="3" l="1"/>
  <c r="M374" i="3"/>
  <c r="N374" i="3" s="1"/>
  <c r="W374" i="3"/>
  <c r="P375" i="3"/>
  <c r="Q375" i="3" s="1"/>
  <c r="R375" i="3" s="1"/>
  <c r="S375" i="3" s="1"/>
  <c r="Z375" i="3"/>
  <c r="AC375" i="3"/>
  <c r="AA375" i="3"/>
  <c r="L374" i="3" l="1"/>
  <c r="Y373" i="3" s="1"/>
  <c r="AD374" i="3"/>
  <c r="T375" i="3"/>
  <c r="U374" i="3" l="1"/>
  <c r="E375" i="3" s="1"/>
  <c r="H375" i="3" s="1"/>
  <c r="K375" i="3" s="1"/>
  <c r="AE375" i="3" s="1"/>
  <c r="AG375" i="3"/>
  <c r="AH375" i="3"/>
  <c r="D375" i="3" l="1"/>
  <c r="G375" i="3" s="1"/>
  <c r="I375" i="3" s="1"/>
  <c r="V375" i="3"/>
  <c r="A376" i="3"/>
  <c r="B376" i="3" s="1"/>
  <c r="M375" i="3" l="1"/>
  <c r="N375" i="3" s="1"/>
  <c r="F375" i="3"/>
  <c r="J375" i="3"/>
  <c r="W375" i="3"/>
  <c r="AA376" i="3"/>
  <c r="P376" i="3"/>
  <c r="Q376" i="3" s="1"/>
  <c r="R376" i="3" s="1"/>
  <c r="S376" i="3" s="1"/>
  <c r="AC376" i="3"/>
  <c r="Z376" i="3"/>
  <c r="L375" i="3" l="1"/>
  <c r="U375" i="3" s="1"/>
  <c r="AD375" i="3"/>
  <c r="T376" i="3"/>
  <c r="Y374" i="3" l="1"/>
  <c r="D376" i="3"/>
  <c r="G376" i="3" s="1"/>
  <c r="AG376" i="3"/>
  <c r="AH376" i="3"/>
  <c r="E376" i="3"/>
  <c r="H376" i="3" s="1"/>
  <c r="F376" i="3" l="1"/>
  <c r="I376" i="3"/>
  <c r="J376" i="3"/>
  <c r="AD376" i="3" s="1"/>
  <c r="M376" i="3"/>
  <c r="N376" i="3" s="1"/>
  <c r="K376" i="3"/>
  <c r="AE376" i="3" s="1"/>
  <c r="V376" i="3" l="1"/>
  <c r="W376" i="3" s="1"/>
  <c r="A377" i="3"/>
  <c r="B377" i="3" s="1"/>
  <c r="L376" i="3"/>
  <c r="AC377" i="3" l="1"/>
  <c r="AA377" i="3"/>
  <c r="P377" i="3"/>
  <c r="Q377" i="3" s="1"/>
  <c r="R377" i="3" s="1"/>
  <c r="S377" i="3" s="1"/>
  <c r="Z377" i="3"/>
  <c r="U376" i="3"/>
  <c r="Y375" i="3"/>
  <c r="T377" i="3" l="1"/>
  <c r="AH377" i="3" s="1"/>
  <c r="E377" i="3" l="1"/>
  <c r="H377" i="3" s="1"/>
  <c r="K377" i="3" s="1"/>
  <c r="AE377" i="3" s="1"/>
  <c r="D377" i="3"/>
  <c r="AG377" i="3"/>
  <c r="F377" i="3" l="1"/>
  <c r="G377" i="3"/>
  <c r="M377" i="3" s="1"/>
  <c r="N377" i="3" s="1"/>
  <c r="V377" i="3"/>
  <c r="A378" i="3"/>
  <c r="B378" i="3" s="1"/>
  <c r="I377" i="3" l="1"/>
  <c r="W377" i="3" s="1"/>
  <c r="J377" i="3"/>
  <c r="Z378" i="3"/>
  <c r="AC378" i="3"/>
  <c r="P378" i="3"/>
  <c r="Q378" i="3" s="1"/>
  <c r="R378" i="3" s="1"/>
  <c r="S378" i="3" s="1"/>
  <c r="AA378" i="3"/>
  <c r="L377" i="3" l="1"/>
  <c r="U377" i="3" s="1"/>
  <c r="AD377" i="3"/>
  <c r="T378" i="3"/>
  <c r="Y376" i="3" l="1"/>
  <c r="D378" i="3"/>
  <c r="G378" i="3" s="1"/>
  <c r="AG378" i="3"/>
  <c r="E378" i="3"/>
  <c r="H378" i="3" s="1"/>
  <c r="K378" i="3" s="1"/>
  <c r="AE378" i="3" s="1"/>
  <c r="AH378" i="3"/>
  <c r="F378" i="3" l="1"/>
  <c r="V378" i="3"/>
  <c r="A379" i="3"/>
  <c r="B379" i="3" s="1"/>
  <c r="I378" i="3"/>
  <c r="J378" i="3"/>
  <c r="AD378" i="3" s="1"/>
  <c r="M378" i="3"/>
  <c r="N378" i="3" s="1"/>
  <c r="W378" i="3" l="1"/>
  <c r="L378" i="3"/>
  <c r="Z379" i="3"/>
  <c r="AA379" i="3"/>
  <c r="P379" i="3"/>
  <c r="Q379" i="3" s="1"/>
  <c r="R379" i="3" s="1"/>
  <c r="S379" i="3" s="1"/>
  <c r="AC379" i="3"/>
  <c r="U378" i="3" l="1"/>
  <c r="Y377" i="3"/>
  <c r="T379" i="3"/>
  <c r="AH379" i="3" s="1"/>
  <c r="E379" i="3" l="1"/>
  <c r="H379" i="3" s="1"/>
  <c r="K379" i="3" s="1"/>
  <c r="AE379" i="3" s="1"/>
  <c r="D379" i="3"/>
  <c r="G379" i="3" s="1"/>
  <c r="AG379" i="3"/>
  <c r="F379" i="3" l="1"/>
  <c r="I379" i="3"/>
  <c r="J379" i="3"/>
  <c r="AD379" i="3" s="1"/>
  <c r="M379" i="3"/>
  <c r="N379" i="3" s="1"/>
  <c r="V379" i="3"/>
  <c r="A380" i="3"/>
  <c r="B380" i="3" s="1"/>
  <c r="W379" i="3" l="1"/>
  <c r="L379" i="3"/>
  <c r="Z380" i="3"/>
  <c r="P380" i="3"/>
  <c r="Q380" i="3" s="1"/>
  <c r="R380" i="3" s="1"/>
  <c r="S380" i="3" s="1"/>
  <c r="AC380" i="3"/>
  <c r="AA380" i="3"/>
  <c r="T380" i="3" l="1"/>
  <c r="AH380" i="3" s="1"/>
  <c r="U379" i="3"/>
  <c r="Y378" i="3"/>
  <c r="AG380" i="3" l="1"/>
  <c r="E380" i="3"/>
  <c r="H380" i="3" s="1"/>
  <c r="K380" i="3" s="1"/>
  <c r="AE380" i="3" s="1"/>
  <c r="D380" i="3"/>
  <c r="V380" i="3" l="1"/>
  <c r="A381" i="3"/>
  <c r="B381" i="3" s="1"/>
  <c r="F380" i="3"/>
  <c r="G380" i="3"/>
  <c r="I380" i="3" l="1"/>
  <c r="W380" i="3" s="1"/>
  <c r="J380" i="3"/>
  <c r="AD380" i="3" s="1"/>
  <c r="M380" i="3"/>
  <c r="N380" i="3" s="1"/>
  <c r="Z381" i="3"/>
  <c r="AA381" i="3"/>
  <c r="AC381" i="3"/>
  <c r="P381" i="3"/>
  <c r="Q381" i="3" s="1"/>
  <c r="R381" i="3" s="1"/>
  <c r="S381" i="3" s="1"/>
  <c r="T381" i="3" l="1"/>
  <c r="L380" i="3"/>
  <c r="U380" i="3" l="1"/>
  <c r="E381" i="3" s="1"/>
  <c r="H381" i="3" s="1"/>
  <c r="AH381" i="3"/>
  <c r="AG381" i="3"/>
  <c r="Y379" i="3"/>
  <c r="K381" i="3" l="1"/>
  <c r="AE381" i="3" s="1"/>
  <c r="D381" i="3"/>
  <c r="V381" i="3" l="1"/>
  <c r="A382" i="3"/>
  <c r="B382" i="3" s="1"/>
  <c r="F381" i="3"/>
  <c r="G381" i="3"/>
  <c r="I381" i="3" l="1"/>
  <c r="W381" i="3" s="1"/>
  <c r="J381" i="3"/>
  <c r="AD381" i="3" s="1"/>
  <c r="M381" i="3"/>
  <c r="N381" i="3" s="1"/>
  <c r="AA382" i="3"/>
  <c r="Z382" i="3"/>
  <c r="P382" i="3"/>
  <c r="Q382" i="3" s="1"/>
  <c r="R382" i="3" s="1"/>
  <c r="S382" i="3" s="1"/>
  <c r="AC382" i="3"/>
  <c r="L381" i="3" l="1"/>
  <c r="T382" i="3"/>
  <c r="U381" i="3" l="1"/>
  <c r="E382" i="3" s="1"/>
  <c r="H382" i="3" s="1"/>
  <c r="AH382" i="3"/>
  <c r="AG382" i="3"/>
  <c r="Y380" i="3"/>
  <c r="D382" i="3" l="1"/>
  <c r="G382" i="3" s="1"/>
  <c r="K382" i="3"/>
  <c r="AE382" i="3" s="1"/>
  <c r="F382" i="3" l="1"/>
  <c r="I382" i="3"/>
  <c r="J382" i="3"/>
  <c r="AD382" i="3" s="1"/>
  <c r="M382" i="3"/>
  <c r="N382" i="3" s="1"/>
  <c r="V382" i="3"/>
  <c r="A383" i="3"/>
  <c r="B383" i="3" s="1"/>
  <c r="W382" i="3" l="1"/>
  <c r="L382" i="3"/>
  <c r="AA383" i="3"/>
  <c r="P383" i="3"/>
  <c r="Q383" i="3" s="1"/>
  <c r="R383" i="3" s="1"/>
  <c r="S383" i="3" s="1"/>
  <c r="Z383" i="3"/>
  <c r="AC383" i="3"/>
  <c r="U382" i="3" l="1"/>
  <c r="Y381" i="3"/>
  <c r="T383" i="3"/>
  <c r="E383" i="3" l="1"/>
  <c r="H383" i="3" s="1"/>
  <c r="K383" i="3" s="1"/>
  <c r="AE383" i="3" s="1"/>
  <c r="D383" i="3"/>
  <c r="AH383" i="3"/>
  <c r="AG383" i="3"/>
  <c r="V383" i="3" l="1"/>
  <c r="A384" i="3"/>
  <c r="B384" i="3" s="1"/>
  <c r="F383" i="3"/>
  <c r="G383" i="3"/>
  <c r="I383" i="3" l="1"/>
  <c r="W383" i="3" s="1"/>
  <c r="J383" i="3"/>
  <c r="AD383" i="3" s="1"/>
  <c r="M383" i="3"/>
  <c r="N383" i="3" s="1"/>
  <c r="P384" i="3"/>
  <c r="Q384" i="3" s="1"/>
  <c r="R384" i="3" s="1"/>
  <c r="S384" i="3" s="1"/>
  <c r="Z384" i="3"/>
  <c r="AC384" i="3"/>
  <c r="AA384" i="3"/>
  <c r="T384" i="3" l="1"/>
  <c r="L383" i="3"/>
  <c r="AG384" i="3" l="1"/>
  <c r="AH384" i="3"/>
  <c r="U383" i="3"/>
  <c r="D384" i="3" s="1"/>
  <c r="Y382" i="3"/>
  <c r="E384" i="3" l="1"/>
  <c r="H384" i="3" s="1"/>
  <c r="K384" i="3" s="1"/>
  <c r="AE384" i="3" s="1"/>
  <c r="G384" i="3"/>
  <c r="F384" i="3" l="1"/>
  <c r="I384" i="3"/>
  <c r="J384" i="3"/>
  <c r="AD384" i="3" s="1"/>
  <c r="M384" i="3"/>
  <c r="N384" i="3" s="1"/>
  <c r="V384" i="3"/>
  <c r="A385" i="3"/>
  <c r="B385" i="3" s="1"/>
  <c r="W384" i="3" l="1"/>
  <c r="L384" i="3"/>
  <c r="P385" i="3"/>
  <c r="Q385" i="3" s="1"/>
  <c r="R385" i="3" s="1"/>
  <c r="S385" i="3" s="1"/>
  <c r="AD385" i="3"/>
  <c r="Z385" i="3"/>
  <c r="AC385" i="3"/>
  <c r="AA385" i="3"/>
  <c r="U384" i="3" l="1"/>
  <c r="Y383" i="3"/>
  <c r="T385" i="3"/>
  <c r="AG385" i="3" s="1"/>
  <c r="D385" i="3" l="1"/>
  <c r="G385" i="3" s="1"/>
  <c r="E385" i="3"/>
  <c r="H385" i="3" s="1"/>
  <c r="K385" i="3" s="1"/>
  <c r="AE385" i="3" s="1"/>
  <c r="AH385" i="3"/>
  <c r="F385" i="3" l="1"/>
  <c r="V385" i="3"/>
  <c r="A386" i="3"/>
  <c r="B386" i="3" s="1"/>
  <c r="I385" i="3"/>
  <c r="J385" i="3"/>
  <c r="M385" i="3"/>
  <c r="N385" i="3" s="1"/>
  <c r="L385" i="3" l="1"/>
  <c r="W385" i="3"/>
  <c r="AC386" i="3"/>
  <c r="P386" i="3"/>
  <c r="Q386" i="3" s="1"/>
  <c r="R386" i="3" s="1"/>
  <c r="S386" i="3" s="1"/>
  <c r="AA386" i="3"/>
  <c r="AD386" i="3"/>
  <c r="Z386" i="3"/>
  <c r="T386" i="3" l="1"/>
  <c r="AH386" i="3" s="1"/>
  <c r="U385" i="3"/>
  <c r="Y384" i="3"/>
  <c r="D386" i="3" l="1"/>
  <c r="E386" i="3"/>
  <c r="H386" i="3" s="1"/>
  <c r="AG386" i="3"/>
  <c r="F386" i="3" l="1"/>
  <c r="G386" i="3"/>
  <c r="K386" i="3"/>
  <c r="AE386" i="3" s="1"/>
  <c r="I386" i="3" l="1"/>
  <c r="J386" i="3"/>
  <c r="M386" i="3"/>
  <c r="N386" i="3" s="1"/>
  <c r="V386" i="3"/>
  <c r="A387" i="3"/>
  <c r="B387" i="3" s="1"/>
  <c r="W386" i="3" l="1"/>
  <c r="L386" i="3"/>
  <c r="AD387" i="3"/>
  <c r="AA387" i="3"/>
  <c r="P387" i="3"/>
  <c r="Q387" i="3" s="1"/>
  <c r="R387" i="3" s="1"/>
  <c r="S387" i="3" s="1"/>
  <c r="AC387" i="3"/>
  <c r="Z387" i="3"/>
  <c r="U386" i="3" l="1"/>
  <c r="Y385" i="3"/>
  <c r="T387" i="3"/>
  <c r="AG387" i="3" s="1"/>
  <c r="AH387" i="3" l="1"/>
  <c r="D387" i="3"/>
  <c r="G387" i="3" s="1"/>
  <c r="E387" i="3"/>
  <c r="H387" i="3" s="1"/>
  <c r="F387" i="3" l="1"/>
  <c r="I387" i="3"/>
  <c r="J387" i="3"/>
  <c r="M387" i="3"/>
  <c r="N387" i="3" s="1"/>
  <c r="K387" i="3"/>
  <c r="AE387" i="3" s="1"/>
  <c r="V387" i="3" l="1"/>
  <c r="W387" i="3" s="1"/>
  <c r="A388" i="3"/>
  <c r="B388" i="3" s="1"/>
  <c r="L387" i="3"/>
  <c r="U387" i="3" l="1"/>
  <c r="Y386" i="3"/>
  <c r="AA388" i="3"/>
  <c r="Z388" i="3"/>
  <c r="P388" i="3"/>
  <c r="Q388" i="3" s="1"/>
  <c r="R388" i="3" s="1"/>
  <c r="S388" i="3" s="1"/>
  <c r="AD388" i="3"/>
  <c r="AC388" i="3"/>
  <c r="T388" i="3" l="1"/>
  <c r="E388" i="3" s="1"/>
  <c r="H388" i="3" s="1"/>
  <c r="K388" i="3" l="1"/>
  <c r="AE388" i="3" s="1"/>
  <c r="D388" i="3"/>
  <c r="AG388" i="3"/>
  <c r="AH388" i="3"/>
  <c r="V388" i="3" l="1"/>
  <c r="A389" i="3"/>
  <c r="B389" i="3" s="1"/>
  <c r="F388" i="3"/>
  <c r="G388" i="3"/>
  <c r="I388" i="3" l="1"/>
  <c r="W388" i="3" s="1"/>
  <c r="J388" i="3"/>
  <c r="M388" i="3"/>
  <c r="N388" i="3" s="1"/>
  <c r="P389" i="3"/>
  <c r="Q389" i="3" s="1"/>
  <c r="R389" i="3" s="1"/>
  <c r="S389" i="3" s="1"/>
  <c r="AA389" i="3"/>
  <c r="AD389" i="3"/>
  <c r="AC389" i="3"/>
  <c r="Z389" i="3"/>
  <c r="T389" i="3" l="1"/>
  <c r="L388" i="3"/>
  <c r="U388" i="3" l="1"/>
  <c r="E389" i="3" s="1"/>
  <c r="H389" i="3" s="1"/>
  <c r="AH389" i="3"/>
  <c r="AG389" i="3"/>
  <c r="Y387" i="3"/>
  <c r="D389" i="3" l="1"/>
  <c r="G389" i="3" s="1"/>
  <c r="K389" i="3"/>
  <c r="AE389" i="3" s="1"/>
  <c r="F389" i="3" l="1"/>
  <c r="V389" i="3"/>
  <c r="A390" i="3"/>
  <c r="B390" i="3" s="1"/>
  <c r="I389" i="3"/>
  <c r="J389" i="3"/>
  <c r="M389" i="3"/>
  <c r="N389" i="3" s="1"/>
  <c r="W389" i="3" l="1"/>
  <c r="L389" i="3"/>
  <c r="P390" i="3"/>
  <c r="Q390" i="3" s="1"/>
  <c r="R390" i="3" s="1"/>
  <c r="S390" i="3" s="1"/>
  <c r="AC390" i="3"/>
  <c r="AA390" i="3"/>
  <c r="Z390" i="3"/>
  <c r="AD390" i="3"/>
  <c r="U389" i="3" l="1"/>
  <c r="Y388" i="3"/>
  <c r="T390" i="3"/>
  <c r="AG390" i="3" s="1"/>
  <c r="D390" i="3" l="1"/>
  <c r="AH390" i="3"/>
  <c r="E390" i="3"/>
  <c r="H390" i="3" s="1"/>
  <c r="F390" i="3" l="1"/>
  <c r="G390" i="3"/>
  <c r="K390" i="3"/>
  <c r="AE390" i="3" s="1"/>
  <c r="I390" i="3" l="1"/>
  <c r="J390" i="3"/>
  <c r="M390" i="3"/>
  <c r="N390" i="3" s="1"/>
  <c r="V390" i="3"/>
  <c r="A391" i="3"/>
  <c r="B391" i="3" s="1"/>
  <c r="W390" i="3" l="1"/>
  <c r="L390" i="3"/>
  <c r="AC391" i="3"/>
  <c r="AA391" i="3"/>
  <c r="AD391" i="3"/>
  <c r="Z391" i="3"/>
  <c r="P391" i="3"/>
  <c r="Q391" i="3" s="1"/>
  <c r="R391" i="3" s="1"/>
  <c r="S391" i="3" s="1"/>
  <c r="U390" i="3" l="1"/>
  <c r="Y389" i="3"/>
  <c r="T391" i="3"/>
  <c r="E391" i="3" l="1"/>
  <c r="H391" i="3" s="1"/>
  <c r="K391" i="3" s="1"/>
  <c r="AE391" i="3" s="1"/>
  <c r="AG391" i="3"/>
  <c r="AH391" i="3"/>
  <c r="D391" i="3"/>
  <c r="V391" i="3" l="1"/>
  <c r="A392" i="3"/>
  <c r="B392" i="3" s="1"/>
  <c r="F391" i="3"/>
  <c r="G391" i="3"/>
  <c r="I391" i="3" l="1"/>
  <c r="W391" i="3" s="1"/>
  <c r="J391" i="3"/>
  <c r="M391" i="3"/>
  <c r="N391" i="3" s="1"/>
  <c r="AD392" i="3"/>
  <c r="Z392" i="3"/>
  <c r="P392" i="3"/>
  <c r="Q392" i="3" s="1"/>
  <c r="R392" i="3" s="1"/>
  <c r="S392" i="3" s="1"/>
  <c r="AA392" i="3"/>
  <c r="AC392" i="3"/>
  <c r="T392" i="3" l="1"/>
  <c r="L391" i="3"/>
  <c r="U391" i="3" l="1"/>
  <c r="D392" i="3" s="1"/>
  <c r="AH392" i="3"/>
  <c r="AG392" i="3"/>
  <c r="Y390" i="3"/>
  <c r="G392" i="3" l="1"/>
  <c r="E392" i="3"/>
  <c r="H392" i="3" s="1"/>
  <c r="F392" i="3" l="1"/>
  <c r="I392" i="3"/>
  <c r="J392" i="3"/>
  <c r="M392" i="3"/>
  <c r="N392" i="3" s="1"/>
  <c r="K392" i="3"/>
  <c r="AE392" i="3" s="1"/>
  <c r="V392" i="3" l="1"/>
  <c r="W392" i="3" s="1"/>
  <c r="A393" i="3"/>
  <c r="B393" i="3" s="1"/>
  <c r="L392" i="3"/>
  <c r="U392" i="3" l="1"/>
  <c r="Y391" i="3"/>
  <c r="AD393" i="3"/>
  <c r="Z393" i="3"/>
  <c r="AA393" i="3"/>
  <c r="P393" i="3"/>
  <c r="Q393" i="3" s="1"/>
  <c r="R393" i="3" s="1"/>
  <c r="S393" i="3" s="1"/>
  <c r="AC393" i="3"/>
  <c r="T393" i="3" l="1"/>
  <c r="AG393" i="3" s="1"/>
  <c r="E393" i="3" l="1"/>
  <c r="H393" i="3" s="1"/>
  <c r="K393" i="3" s="1"/>
  <c r="AE393" i="3" s="1"/>
  <c r="D393" i="3"/>
  <c r="AH393" i="3"/>
  <c r="V393" i="3" l="1"/>
  <c r="A394" i="3"/>
  <c r="B394" i="3" s="1"/>
  <c r="F393" i="3"/>
  <c r="G393" i="3"/>
  <c r="I393" i="3" l="1"/>
  <c r="W393" i="3" s="1"/>
  <c r="J393" i="3"/>
  <c r="M393" i="3"/>
  <c r="N393" i="3" s="1"/>
  <c r="P394" i="3"/>
  <c r="Q394" i="3" s="1"/>
  <c r="R394" i="3" s="1"/>
  <c r="S394" i="3" s="1"/>
  <c r="AC394" i="3"/>
  <c r="Z394" i="3"/>
  <c r="AA394" i="3"/>
  <c r="T394" i="3" l="1"/>
  <c r="L393" i="3"/>
  <c r="AH394" i="3" l="1"/>
  <c r="AG394" i="3"/>
  <c r="U393" i="3"/>
  <c r="D394" i="3" s="1"/>
  <c r="Y392" i="3"/>
  <c r="G394" i="3" l="1"/>
  <c r="E394" i="3"/>
  <c r="H394" i="3" s="1"/>
  <c r="F394" i="3" l="1"/>
  <c r="I394" i="3"/>
  <c r="J394" i="3"/>
  <c r="AD394" i="3" s="1"/>
  <c r="M394" i="3"/>
  <c r="N394" i="3" s="1"/>
  <c r="K394" i="3"/>
  <c r="AE394" i="3" s="1"/>
  <c r="L394" i="3" l="1"/>
  <c r="V394" i="3"/>
  <c r="W394" i="3" s="1"/>
  <c r="A395" i="3"/>
  <c r="B395" i="3" s="1"/>
  <c r="U394" i="3" l="1"/>
  <c r="Y393" i="3"/>
  <c r="AA395" i="3"/>
  <c r="P395" i="3"/>
  <c r="Q395" i="3" s="1"/>
  <c r="R395" i="3" s="1"/>
  <c r="S395" i="3" s="1"/>
  <c r="Z395" i="3"/>
  <c r="AC395" i="3"/>
  <c r="T395" i="3" l="1"/>
  <c r="AG395" i="3" s="1"/>
  <c r="AH395" i="3" l="1"/>
  <c r="E395" i="3"/>
  <c r="H395" i="3" s="1"/>
  <c r="K395" i="3" s="1"/>
  <c r="AE395" i="3" s="1"/>
  <c r="D395" i="3"/>
  <c r="G395" i="3" s="1"/>
  <c r="F395" i="3" l="1"/>
  <c r="V395" i="3"/>
  <c r="A396" i="3"/>
  <c r="B396" i="3" s="1"/>
  <c r="I395" i="3"/>
  <c r="J395" i="3"/>
  <c r="AD395" i="3" s="1"/>
  <c r="M395" i="3"/>
  <c r="N395" i="3" s="1"/>
  <c r="W395" i="3" l="1"/>
  <c r="L395" i="3"/>
  <c r="AA396" i="3"/>
  <c r="Z396" i="3"/>
  <c r="P396" i="3"/>
  <c r="Q396" i="3" s="1"/>
  <c r="R396" i="3" s="1"/>
  <c r="S396" i="3" s="1"/>
  <c r="AC396" i="3"/>
  <c r="U395" i="3" l="1"/>
  <c r="Y394" i="3"/>
  <c r="T396" i="3"/>
  <c r="E396" i="3" l="1"/>
  <c r="H396" i="3" s="1"/>
  <c r="K396" i="3" s="1"/>
  <c r="AE396" i="3" s="1"/>
  <c r="AG396" i="3"/>
  <c r="AH396" i="3"/>
  <c r="D396" i="3"/>
  <c r="F396" i="3" l="1"/>
  <c r="G396" i="3"/>
  <c r="V396" i="3"/>
  <c r="A397" i="3"/>
  <c r="B397" i="3" s="1"/>
  <c r="P397" i="3" l="1"/>
  <c r="Q397" i="3" s="1"/>
  <c r="R397" i="3" s="1"/>
  <c r="S397" i="3" s="1"/>
  <c r="AC397" i="3"/>
  <c r="AA397" i="3"/>
  <c r="Z397" i="3"/>
  <c r="I396" i="3"/>
  <c r="W396" i="3" s="1"/>
  <c r="J396" i="3"/>
  <c r="AD396" i="3" s="1"/>
  <c r="M396" i="3"/>
  <c r="N396" i="3" s="1"/>
  <c r="T397" i="3" l="1"/>
  <c r="L396" i="3"/>
  <c r="U396" i="3" l="1"/>
  <c r="E397" i="3" s="1"/>
  <c r="H397" i="3" s="1"/>
  <c r="AG397" i="3"/>
  <c r="AH397" i="3"/>
  <c r="Y395" i="3"/>
  <c r="D397" i="3" l="1"/>
  <c r="F397" i="3" s="1"/>
  <c r="K397" i="3"/>
  <c r="AE397" i="3" s="1"/>
  <c r="G397" i="3" l="1"/>
  <c r="M397" i="3" s="1"/>
  <c r="N397" i="3" s="1"/>
  <c r="V397" i="3"/>
  <c r="A398" i="3"/>
  <c r="B398" i="3" s="1"/>
  <c r="I397" i="3" l="1"/>
  <c r="W397" i="3" s="1"/>
  <c r="J397" i="3"/>
  <c r="AC398" i="3"/>
  <c r="AA398" i="3"/>
  <c r="P398" i="3"/>
  <c r="Q398" i="3" s="1"/>
  <c r="R398" i="3" s="1"/>
  <c r="S398" i="3" s="1"/>
  <c r="Z398" i="3"/>
  <c r="L397" i="3" l="1"/>
  <c r="U397" i="3" s="1"/>
  <c r="AD397" i="3"/>
  <c r="T398" i="3"/>
  <c r="Y396" i="3" l="1"/>
  <c r="E398" i="3"/>
  <c r="H398" i="3" s="1"/>
  <c r="K398" i="3" s="1"/>
  <c r="AE398" i="3" s="1"/>
  <c r="D398" i="3"/>
  <c r="G398" i="3" s="1"/>
  <c r="AH398" i="3"/>
  <c r="AG398" i="3"/>
  <c r="F398" i="3" l="1"/>
  <c r="V398" i="3"/>
  <c r="A399" i="3"/>
  <c r="B399" i="3" s="1"/>
  <c r="I398" i="3"/>
  <c r="J398" i="3"/>
  <c r="AD398" i="3" s="1"/>
  <c r="M398" i="3"/>
  <c r="N398" i="3" s="1"/>
  <c r="L398" i="3" l="1"/>
  <c r="W398" i="3"/>
  <c r="Z399" i="3"/>
  <c r="P399" i="3"/>
  <c r="Q399" i="3" s="1"/>
  <c r="R399" i="3" s="1"/>
  <c r="S399" i="3" s="1"/>
  <c r="AA399" i="3"/>
  <c r="AC399" i="3"/>
  <c r="U398" i="3" l="1"/>
  <c r="Y397" i="3"/>
  <c r="T399" i="3"/>
  <c r="AH399" i="3" s="1"/>
  <c r="D399" i="3" l="1"/>
  <c r="G399" i="3" s="1"/>
  <c r="AG399" i="3"/>
  <c r="E399" i="3"/>
  <c r="H399" i="3" s="1"/>
  <c r="F399" i="3" l="1"/>
  <c r="I399" i="3"/>
  <c r="J399" i="3"/>
  <c r="AD399" i="3" s="1"/>
  <c r="M399" i="3"/>
  <c r="N399" i="3" s="1"/>
  <c r="K399" i="3"/>
  <c r="AE399" i="3" s="1"/>
  <c r="V399" i="3" l="1"/>
  <c r="W399" i="3" s="1"/>
  <c r="A400" i="3"/>
  <c r="B400" i="3" s="1"/>
  <c r="L399" i="3"/>
  <c r="U399" i="3" l="1"/>
  <c r="Y398" i="3"/>
  <c r="AC400" i="3"/>
  <c r="Z400" i="3"/>
  <c r="P400" i="3"/>
  <c r="Q400" i="3" s="1"/>
  <c r="R400" i="3" s="1"/>
  <c r="S400" i="3" s="1"/>
  <c r="AA400" i="3"/>
  <c r="T400" i="3" l="1"/>
  <c r="AH400" i="3" s="1"/>
  <c r="AG400" i="3" l="1"/>
  <c r="D400" i="3"/>
  <c r="G400" i="3" s="1"/>
  <c r="E400" i="3"/>
  <c r="H400" i="3" s="1"/>
  <c r="K400" i="3" s="1"/>
  <c r="AE400" i="3" s="1"/>
  <c r="F400" i="3" l="1"/>
  <c r="V400" i="3"/>
  <c r="A401" i="3"/>
  <c r="B401" i="3" s="1"/>
  <c r="I400" i="3"/>
  <c r="J400" i="3"/>
  <c r="AD400" i="3" s="1"/>
  <c r="M400" i="3"/>
  <c r="N400" i="3" s="1"/>
  <c r="W400" i="3" l="1"/>
  <c r="L400" i="3"/>
  <c r="AA401" i="3"/>
  <c r="Z401" i="3"/>
  <c r="AC401" i="3"/>
  <c r="P401" i="3"/>
  <c r="Q401" i="3" s="1"/>
  <c r="R401" i="3" s="1"/>
  <c r="S401" i="3" s="1"/>
  <c r="U400" i="3" l="1"/>
  <c r="Y399" i="3"/>
  <c r="T401" i="3"/>
  <c r="AG401" i="3" s="1"/>
  <c r="D401" i="3" l="1"/>
  <c r="E401" i="3"/>
  <c r="H401" i="3" s="1"/>
  <c r="K401" i="3" s="1"/>
  <c r="AE401" i="3" s="1"/>
  <c r="AH401" i="3"/>
  <c r="F401" i="3" l="1"/>
  <c r="G401" i="3"/>
  <c r="J401" i="3" s="1"/>
  <c r="AD401" i="3" s="1"/>
  <c r="V401" i="3"/>
  <c r="A402" i="3"/>
  <c r="B402" i="3" s="1"/>
  <c r="M401" i="3" l="1"/>
  <c r="N401" i="3" s="1"/>
  <c r="I401" i="3"/>
  <c r="W401" i="3" s="1"/>
  <c r="L401" i="3"/>
  <c r="AA402" i="3"/>
  <c r="AC402" i="3"/>
  <c r="Z402" i="3"/>
  <c r="P402" i="3"/>
  <c r="Q402" i="3" s="1"/>
  <c r="R402" i="3" s="1"/>
  <c r="S402" i="3" s="1"/>
  <c r="U401" i="3" l="1"/>
  <c r="Y400" i="3"/>
  <c r="T402" i="3"/>
  <c r="AG402" i="3" s="1"/>
  <c r="AH402" i="3" l="1"/>
  <c r="E402" i="3"/>
  <c r="H402" i="3" s="1"/>
  <c r="K402" i="3" s="1"/>
  <c r="AE402" i="3" s="1"/>
  <c r="D402" i="3"/>
  <c r="G402" i="3" s="1"/>
  <c r="F402" i="3" l="1"/>
  <c r="I402" i="3"/>
  <c r="J402" i="3"/>
  <c r="AD402" i="3" s="1"/>
  <c r="M402" i="3"/>
  <c r="N402" i="3" s="1"/>
  <c r="V402" i="3"/>
  <c r="A403" i="3"/>
  <c r="B403" i="3" s="1"/>
  <c r="W402" i="3" l="1"/>
  <c r="L402" i="3"/>
  <c r="AC403" i="3"/>
  <c r="AA403" i="3"/>
  <c r="P403" i="3"/>
  <c r="Q403" i="3" s="1"/>
  <c r="R403" i="3" s="1"/>
  <c r="S403" i="3" s="1"/>
  <c r="Z403" i="3"/>
  <c r="T403" i="3" l="1"/>
  <c r="AH403" i="3" s="1"/>
  <c r="U402" i="3"/>
  <c r="Y401" i="3"/>
  <c r="AG403" i="3" l="1"/>
  <c r="D403" i="3"/>
  <c r="E403" i="3"/>
  <c r="H403" i="3" s="1"/>
  <c r="F403" i="3" l="1"/>
  <c r="G403" i="3"/>
  <c r="K403" i="3"/>
  <c r="AE403" i="3" s="1"/>
  <c r="V403" i="3" l="1"/>
  <c r="A404" i="3"/>
  <c r="B404" i="3" s="1"/>
  <c r="I403" i="3"/>
  <c r="J403" i="3"/>
  <c r="AD403" i="3" s="1"/>
  <c r="M403" i="3"/>
  <c r="N403" i="3" s="1"/>
  <c r="W403" i="3" l="1"/>
  <c r="L403" i="3"/>
  <c r="P404" i="3"/>
  <c r="Q404" i="3" s="1"/>
  <c r="R404" i="3" s="1"/>
  <c r="S404" i="3" s="1"/>
  <c r="AA404" i="3"/>
  <c r="Z404" i="3"/>
  <c r="AC404" i="3"/>
  <c r="U403" i="3" l="1"/>
  <c r="Y402" i="3"/>
  <c r="T404" i="3"/>
  <c r="AG404" i="3" s="1"/>
  <c r="E404" i="3" l="1"/>
  <c r="H404" i="3" s="1"/>
  <c r="K404" i="3" s="1"/>
  <c r="AE404" i="3" s="1"/>
  <c r="AH404" i="3"/>
  <c r="D404" i="3"/>
  <c r="G404" i="3" s="1"/>
  <c r="F404" i="3" l="1"/>
  <c r="I404" i="3"/>
  <c r="J404" i="3"/>
  <c r="AD404" i="3" s="1"/>
  <c r="M404" i="3"/>
  <c r="N404" i="3" s="1"/>
  <c r="V404" i="3"/>
  <c r="A405" i="3"/>
  <c r="B405" i="3" s="1"/>
  <c r="W404" i="3" l="1"/>
  <c r="L404" i="3"/>
  <c r="P405" i="3"/>
  <c r="Q405" i="3" s="1"/>
  <c r="R405" i="3" s="1"/>
  <c r="S405" i="3" s="1"/>
  <c r="AC405" i="3"/>
  <c r="Z405" i="3"/>
  <c r="AD405" i="3"/>
  <c r="AA405" i="3"/>
  <c r="U404" i="3" l="1"/>
  <c r="Y403" i="3"/>
  <c r="T405" i="3"/>
  <c r="E405" i="3" l="1"/>
  <c r="H405" i="3" s="1"/>
  <c r="K405" i="3" s="1"/>
  <c r="AE405" i="3" s="1"/>
  <c r="AH405" i="3"/>
  <c r="D405" i="3"/>
  <c r="AG405" i="3"/>
  <c r="F405" i="3" l="1"/>
  <c r="G405" i="3"/>
  <c r="V405" i="3"/>
  <c r="A406" i="3"/>
  <c r="B406" i="3" s="1"/>
  <c r="AD406" i="3" l="1"/>
  <c r="AA406" i="3"/>
  <c r="AC406" i="3"/>
  <c r="Z406" i="3"/>
  <c r="P406" i="3"/>
  <c r="Q406" i="3" s="1"/>
  <c r="R406" i="3" s="1"/>
  <c r="S406" i="3" s="1"/>
  <c r="I405" i="3"/>
  <c r="W405" i="3" s="1"/>
  <c r="J405" i="3"/>
  <c r="M405" i="3"/>
  <c r="N405" i="3" s="1"/>
  <c r="T406" i="3" l="1"/>
  <c r="L405" i="3"/>
  <c r="U405" i="3" l="1"/>
  <c r="E406" i="3" s="1"/>
  <c r="H406" i="3" s="1"/>
  <c r="AH406" i="3"/>
  <c r="AG406" i="3"/>
  <c r="Y404" i="3"/>
  <c r="K406" i="3" l="1"/>
  <c r="AE406" i="3" s="1"/>
  <c r="D406" i="3"/>
  <c r="V406" i="3" l="1"/>
  <c r="A407" i="3"/>
  <c r="B407" i="3" s="1"/>
  <c r="F406" i="3"/>
  <c r="G406" i="3"/>
  <c r="I406" i="3" l="1"/>
  <c r="W406" i="3" s="1"/>
  <c r="J406" i="3"/>
  <c r="M406" i="3"/>
  <c r="N406" i="3" s="1"/>
  <c r="AC407" i="3"/>
  <c r="Z407" i="3"/>
  <c r="P407" i="3"/>
  <c r="Q407" i="3" s="1"/>
  <c r="R407" i="3" s="1"/>
  <c r="S407" i="3" s="1"/>
  <c r="AD407" i="3"/>
  <c r="AA407" i="3"/>
  <c r="L406" i="3" l="1"/>
  <c r="T407" i="3"/>
  <c r="U406" i="3" l="1"/>
  <c r="D407" i="3" s="1"/>
  <c r="AG407" i="3"/>
  <c r="AH407" i="3"/>
  <c r="Y405" i="3"/>
  <c r="G407" i="3" l="1"/>
  <c r="E407" i="3"/>
  <c r="H407" i="3" s="1"/>
  <c r="F407" i="3" l="1"/>
  <c r="I407" i="3"/>
  <c r="J407" i="3"/>
  <c r="M407" i="3"/>
  <c r="N407" i="3" s="1"/>
  <c r="K407" i="3"/>
  <c r="AE407" i="3" s="1"/>
  <c r="V407" i="3" l="1"/>
  <c r="W407" i="3" s="1"/>
  <c r="A408" i="3"/>
  <c r="B408" i="3" s="1"/>
  <c r="L407" i="3"/>
  <c r="U407" i="3" l="1"/>
  <c r="Y406" i="3"/>
  <c r="Z408" i="3"/>
  <c r="AC408" i="3"/>
  <c r="AD408" i="3"/>
  <c r="P408" i="3"/>
  <c r="Q408" i="3" s="1"/>
  <c r="R408" i="3" s="1"/>
  <c r="S408" i="3" s="1"/>
  <c r="AA408" i="3"/>
  <c r="T408" i="3" l="1"/>
  <c r="AH408" i="3" s="1"/>
  <c r="E408" i="3" l="1"/>
  <c r="H408" i="3" s="1"/>
  <c r="K408" i="3" s="1"/>
  <c r="AE408" i="3" s="1"/>
  <c r="D408" i="3"/>
  <c r="G408" i="3" s="1"/>
  <c r="AG408" i="3"/>
  <c r="F408" i="3" l="1"/>
  <c r="I408" i="3"/>
  <c r="J408" i="3"/>
  <c r="M408" i="3"/>
  <c r="N408" i="3" s="1"/>
  <c r="V408" i="3"/>
  <c r="A409" i="3"/>
  <c r="B409" i="3" s="1"/>
  <c r="W408" i="3" l="1"/>
  <c r="L408" i="3"/>
  <c r="AA409" i="3"/>
  <c r="AC409" i="3"/>
  <c r="P409" i="3"/>
  <c r="Q409" i="3" s="1"/>
  <c r="R409" i="3" s="1"/>
  <c r="S409" i="3" s="1"/>
  <c r="AD409" i="3"/>
  <c r="Z409" i="3"/>
  <c r="U408" i="3" l="1"/>
  <c r="Y407" i="3"/>
  <c r="T409" i="3"/>
  <c r="E409" i="3" l="1"/>
  <c r="H409" i="3" s="1"/>
  <c r="K409" i="3" s="1"/>
  <c r="AE409" i="3" s="1"/>
  <c r="AH409" i="3"/>
  <c r="D409" i="3"/>
  <c r="AG409" i="3"/>
  <c r="F409" i="3" l="1"/>
  <c r="G409" i="3"/>
  <c r="V409" i="3"/>
  <c r="A410" i="3"/>
  <c r="B410" i="3" s="1"/>
  <c r="P410" i="3" l="1"/>
  <c r="Q410" i="3" s="1"/>
  <c r="R410" i="3" s="1"/>
  <c r="S410" i="3" s="1"/>
  <c r="AA410" i="3"/>
  <c r="AC410" i="3"/>
  <c r="AD410" i="3"/>
  <c r="Z410" i="3"/>
  <c r="I409" i="3"/>
  <c r="W409" i="3" s="1"/>
  <c r="J409" i="3"/>
  <c r="M409" i="3"/>
  <c r="N409" i="3" s="1"/>
  <c r="T410" i="3" l="1"/>
  <c r="L409" i="3"/>
  <c r="AG410" i="3" l="1"/>
  <c r="U409" i="3"/>
  <c r="D410" i="3" s="1"/>
  <c r="AH410" i="3"/>
  <c r="Y408" i="3"/>
  <c r="E410" i="3" l="1"/>
  <c r="H410" i="3" s="1"/>
  <c r="K410" i="3" s="1"/>
  <c r="AE410" i="3" s="1"/>
  <c r="G410" i="3"/>
  <c r="F410" i="3" l="1"/>
  <c r="I410" i="3"/>
  <c r="J410" i="3"/>
  <c r="M410" i="3"/>
  <c r="N410" i="3" s="1"/>
  <c r="V410" i="3"/>
  <c r="A411" i="3"/>
  <c r="B411" i="3" s="1"/>
  <c r="W410" i="3" l="1"/>
  <c r="L410" i="3"/>
  <c r="AC411" i="3"/>
  <c r="P411" i="3"/>
  <c r="Q411" i="3" s="1"/>
  <c r="R411" i="3" s="1"/>
  <c r="S411" i="3" s="1"/>
  <c r="AA411" i="3"/>
  <c r="Z411" i="3"/>
  <c r="AD411" i="3"/>
  <c r="U410" i="3" l="1"/>
  <c r="Y409" i="3"/>
  <c r="T411" i="3"/>
  <c r="AG411" i="3" s="1"/>
  <c r="E411" i="3" l="1"/>
  <c r="H411" i="3" s="1"/>
  <c r="K411" i="3" s="1"/>
  <c r="AE411" i="3" s="1"/>
  <c r="AH411" i="3"/>
  <c r="D411" i="3"/>
  <c r="F411" i="3" l="1"/>
  <c r="G411" i="3"/>
  <c r="V411" i="3"/>
  <c r="A412" i="3"/>
  <c r="B412" i="3" s="1"/>
  <c r="AA412" i="3" l="1"/>
  <c r="AC412" i="3"/>
  <c r="P412" i="3"/>
  <c r="Q412" i="3" s="1"/>
  <c r="R412" i="3" s="1"/>
  <c r="S412" i="3" s="1"/>
  <c r="Z412" i="3"/>
  <c r="AD412" i="3"/>
  <c r="I411" i="3"/>
  <c r="W411" i="3" s="1"/>
  <c r="J411" i="3"/>
  <c r="M411" i="3"/>
  <c r="N411" i="3" s="1"/>
  <c r="T412" i="3" l="1"/>
  <c r="L411" i="3"/>
  <c r="U411" i="3" l="1"/>
  <c r="D412" i="3" s="1"/>
  <c r="AG412" i="3"/>
  <c r="AH412" i="3"/>
  <c r="Y410" i="3"/>
  <c r="G412" i="3" l="1"/>
  <c r="E412" i="3"/>
  <c r="H412" i="3" s="1"/>
  <c r="F412" i="3" l="1"/>
  <c r="I412" i="3"/>
  <c r="J412" i="3"/>
  <c r="M412" i="3"/>
  <c r="N412" i="3" s="1"/>
  <c r="K412" i="3"/>
  <c r="AE412" i="3" s="1"/>
  <c r="V412" i="3" l="1"/>
  <c r="W412" i="3" s="1"/>
  <c r="A413" i="3"/>
  <c r="B413" i="3" s="1"/>
  <c r="L412" i="3"/>
  <c r="U412" i="3" l="1"/>
  <c r="Y411" i="3"/>
  <c r="Z413" i="3"/>
  <c r="P413" i="3"/>
  <c r="Q413" i="3" s="1"/>
  <c r="R413" i="3" s="1"/>
  <c r="S413" i="3" s="1"/>
  <c r="AA413" i="3"/>
  <c r="AC413" i="3"/>
  <c r="AD413" i="3"/>
  <c r="T413" i="3" l="1"/>
  <c r="D413" i="3" s="1"/>
  <c r="E413" i="3" l="1"/>
  <c r="H413" i="3" s="1"/>
  <c r="K413" i="3" s="1"/>
  <c r="AE413" i="3" s="1"/>
  <c r="AH413" i="3"/>
  <c r="G413" i="3"/>
  <c r="AG413" i="3"/>
  <c r="F413" i="3" l="1"/>
  <c r="I413" i="3"/>
  <c r="J413" i="3"/>
  <c r="M413" i="3"/>
  <c r="N413" i="3" s="1"/>
  <c r="V413" i="3"/>
  <c r="A414" i="3"/>
  <c r="B414" i="3" s="1"/>
  <c r="L413" i="3" l="1"/>
  <c r="P414" i="3"/>
  <c r="Q414" i="3" s="1"/>
  <c r="R414" i="3" s="1"/>
  <c r="S414" i="3" s="1"/>
  <c r="Z414" i="3"/>
  <c r="AA414" i="3"/>
  <c r="AC414" i="3"/>
  <c r="W413" i="3"/>
  <c r="U413" i="3" l="1"/>
  <c r="Y412" i="3"/>
  <c r="T414" i="3"/>
  <c r="D414" i="3" l="1"/>
  <c r="G414" i="3" s="1"/>
  <c r="E414" i="3"/>
  <c r="H414" i="3" s="1"/>
  <c r="K414" i="3" s="1"/>
  <c r="AE414" i="3" s="1"/>
  <c r="AG414" i="3"/>
  <c r="AH414" i="3"/>
  <c r="F414" i="3" l="1"/>
  <c r="I414" i="3"/>
  <c r="J414" i="3"/>
  <c r="AD414" i="3" s="1"/>
  <c r="M414" i="3"/>
  <c r="N414" i="3" s="1"/>
  <c r="V414" i="3"/>
  <c r="A415" i="3"/>
  <c r="B415" i="3" s="1"/>
  <c r="W414" i="3" l="1"/>
  <c r="L414" i="3"/>
  <c r="P415" i="3"/>
  <c r="Q415" i="3" s="1"/>
  <c r="R415" i="3" s="1"/>
  <c r="S415" i="3" s="1"/>
  <c r="AA415" i="3"/>
  <c r="Z415" i="3"/>
  <c r="AC415" i="3"/>
  <c r="U414" i="3" l="1"/>
  <c r="Y413" i="3"/>
  <c r="T415" i="3"/>
  <c r="D415" i="3" l="1"/>
  <c r="G415" i="3" s="1"/>
  <c r="AG415" i="3"/>
  <c r="AH415" i="3"/>
  <c r="E415" i="3"/>
  <c r="H415" i="3" s="1"/>
  <c r="F415" i="3" l="1"/>
  <c r="K415" i="3"/>
  <c r="AE415" i="3" s="1"/>
  <c r="I415" i="3"/>
  <c r="J415" i="3"/>
  <c r="AD415" i="3" s="1"/>
  <c r="M415" i="3"/>
  <c r="N415" i="3" s="1"/>
  <c r="L415" i="3" l="1"/>
  <c r="V415" i="3"/>
  <c r="W415" i="3" s="1"/>
  <c r="A416" i="3"/>
  <c r="B416" i="3" s="1"/>
  <c r="Z416" i="3" l="1"/>
  <c r="AA416" i="3"/>
  <c r="P416" i="3"/>
  <c r="Q416" i="3" s="1"/>
  <c r="R416" i="3" s="1"/>
  <c r="S416" i="3" s="1"/>
  <c r="AC416" i="3"/>
  <c r="U415" i="3"/>
  <c r="Y414" i="3"/>
  <c r="T416" i="3" l="1"/>
  <c r="AG416" i="3" s="1"/>
  <c r="D416" i="3" l="1"/>
  <c r="G416" i="3" s="1"/>
  <c r="E416" i="3"/>
  <c r="H416" i="3" s="1"/>
  <c r="K416" i="3" s="1"/>
  <c r="AE416" i="3" s="1"/>
  <c r="AH416" i="3"/>
  <c r="F416" i="3" l="1"/>
  <c r="V416" i="3"/>
  <c r="A417" i="3"/>
  <c r="B417" i="3" s="1"/>
  <c r="I416" i="3"/>
  <c r="J416" i="3"/>
  <c r="AD416" i="3" s="1"/>
  <c r="M416" i="3"/>
  <c r="N416" i="3" s="1"/>
  <c r="W416" i="3" l="1"/>
  <c r="L416" i="3"/>
  <c r="Z417" i="3"/>
  <c r="AC417" i="3"/>
  <c r="AA417" i="3"/>
  <c r="P417" i="3"/>
  <c r="Q417" i="3" s="1"/>
  <c r="R417" i="3" s="1"/>
  <c r="S417" i="3" s="1"/>
  <c r="U416" i="3" l="1"/>
  <c r="Y415" i="3"/>
  <c r="T417" i="3"/>
  <c r="D417" i="3" l="1"/>
  <c r="G417" i="3" s="1"/>
  <c r="AH417" i="3"/>
  <c r="E417" i="3"/>
  <c r="H417" i="3" s="1"/>
  <c r="K417" i="3" s="1"/>
  <c r="AE417" i="3" s="1"/>
  <c r="AG417" i="3"/>
  <c r="F417" i="3" l="1"/>
  <c r="V417" i="3"/>
  <c r="A418" i="3"/>
  <c r="B418" i="3" s="1"/>
  <c r="I417" i="3"/>
  <c r="J417" i="3"/>
  <c r="AD417" i="3" s="1"/>
  <c r="M417" i="3"/>
  <c r="N417" i="3" s="1"/>
  <c r="W417" i="3" l="1"/>
  <c r="L417" i="3"/>
  <c r="Z418" i="3"/>
  <c r="AA418" i="3"/>
  <c r="AC418" i="3"/>
  <c r="P418" i="3"/>
  <c r="Q418" i="3" s="1"/>
  <c r="R418" i="3" s="1"/>
  <c r="S418" i="3" s="1"/>
  <c r="T418" i="3" l="1"/>
  <c r="U417" i="3"/>
  <c r="Y416" i="3"/>
  <c r="D418" i="3" l="1"/>
  <c r="G418" i="3" s="1"/>
  <c r="E418" i="3"/>
  <c r="H418" i="3" s="1"/>
  <c r="AG418" i="3"/>
  <c r="AH418" i="3"/>
  <c r="F418" i="3" l="1"/>
  <c r="I418" i="3"/>
  <c r="J418" i="3"/>
  <c r="AD418" i="3" s="1"/>
  <c r="M418" i="3"/>
  <c r="N418" i="3" s="1"/>
  <c r="K418" i="3"/>
  <c r="AE418" i="3" s="1"/>
  <c r="V418" i="3" l="1"/>
  <c r="W418" i="3" s="1"/>
  <c r="A419" i="3"/>
  <c r="B419" i="3" s="1"/>
  <c r="L418" i="3"/>
  <c r="U418" i="3" l="1"/>
  <c r="Y417" i="3"/>
  <c r="AA419" i="3"/>
  <c r="P419" i="3"/>
  <c r="Q419" i="3" s="1"/>
  <c r="R419" i="3" s="1"/>
  <c r="S419" i="3" s="1"/>
  <c r="Z419" i="3"/>
  <c r="AC419" i="3"/>
  <c r="T419" i="3" l="1"/>
  <c r="AG419" i="3" s="1"/>
  <c r="AH419" i="3" l="1"/>
  <c r="E419" i="3"/>
  <c r="H419" i="3" s="1"/>
  <c r="K419" i="3" s="1"/>
  <c r="AE419" i="3" s="1"/>
  <c r="D419" i="3"/>
  <c r="F419" i="3" l="1"/>
  <c r="G419" i="3"/>
  <c r="J419" i="3" s="1"/>
  <c r="AD419" i="3" s="1"/>
  <c r="V419" i="3"/>
  <c r="A420" i="3"/>
  <c r="B420" i="3" s="1"/>
  <c r="I419" i="3" l="1"/>
  <c r="W419" i="3" s="1"/>
  <c r="M419" i="3"/>
  <c r="N419" i="3" s="1"/>
  <c r="L419" i="3"/>
  <c r="AC420" i="3"/>
  <c r="AA420" i="3"/>
  <c r="Z420" i="3"/>
  <c r="P420" i="3"/>
  <c r="Q420" i="3" s="1"/>
  <c r="R420" i="3" s="1"/>
  <c r="S420" i="3" s="1"/>
  <c r="T420" i="3" l="1"/>
  <c r="AH420" i="3" s="1"/>
  <c r="U419" i="3"/>
  <c r="Y418" i="3"/>
  <c r="E420" i="3" l="1"/>
  <c r="H420" i="3" s="1"/>
  <c r="K420" i="3" s="1"/>
  <c r="AE420" i="3" s="1"/>
  <c r="D420" i="3"/>
  <c r="AG420" i="3"/>
  <c r="V420" i="3" l="1"/>
  <c r="A421" i="3"/>
  <c r="B421" i="3" s="1"/>
  <c r="F420" i="3"/>
  <c r="G420" i="3"/>
  <c r="I420" i="3" l="1"/>
  <c r="W420" i="3" s="1"/>
  <c r="J420" i="3"/>
  <c r="AD420" i="3" s="1"/>
  <c r="M420" i="3"/>
  <c r="N420" i="3" s="1"/>
  <c r="Z421" i="3"/>
  <c r="P421" i="3"/>
  <c r="Q421" i="3" s="1"/>
  <c r="R421" i="3" s="1"/>
  <c r="S421" i="3" s="1"/>
  <c r="AC421" i="3"/>
  <c r="AA421" i="3"/>
  <c r="T421" i="3" l="1"/>
  <c r="L420" i="3"/>
  <c r="U420" i="3" l="1"/>
  <c r="D421" i="3" s="1"/>
  <c r="AH421" i="3"/>
  <c r="AG421" i="3"/>
  <c r="Y419" i="3"/>
  <c r="E421" i="3" l="1"/>
  <c r="H421" i="3" s="1"/>
  <c r="K421" i="3" s="1"/>
  <c r="AE421" i="3" s="1"/>
  <c r="G421" i="3"/>
  <c r="F421" i="3" l="1"/>
  <c r="V421" i="3"/>
  <c r="A422" i="3"/>
  <c r="B422" i="3" s="1"/>
  <c r="I421" i="3"/>
  <c r="J421" i="3"/>
  <c r="AD421" i="3" s="1"/>
  <c r="M421" i="3"/>
  <c r="N421" i="3" s="1"/>
  <c r="W421" i="3" l="1"/>
  <c r="L421" i="3"/>
  <c r="Z422" i="3"/>
  <c r="P422" i="3"/>
  <c r="Q422" i="3" s="1"/>
  <c r="R422" i="3" s="1"/>
  <c r="S422" i="3" s="1"/>
  <c r="AC422" i="3"/>
  <c r="AA422" i="3"/>
  <c r="U421" i="3" l="1"/>
  <c r="Y420" i="3"/>
  <c r="T422" i="3"/>
  <c r="D422" i="3" l="1"/>
  <c r="G422" i="3" s="1"/>
  <c r="AG422" i="3"/>
  <c r="E422" i="3"/>
  <c r="H422" i="3" s="1"/>
  <c r="K422" i="3" s="1"/>
  <c r="AE422" i="3" s="1"/>
  <c r="AH422" i="3"/>
  <c r="F422" i="3" l="1"/>
  <c r="V422" i="3"/>
  <c r="A423" i="3"/>
  <c r="B423" i="3" s="1"/>
  <c r="I422" i="3"/>
  <c r="J422" i="3"/>
  <c r="AD422" i="3" s="1"/>
  <c r="M422" i="3"/>
  <c r="N422" i="3" s="1"/>
  <c r="L422" i="3" l="1"/>
  <c r="W422" i="3"/>
  <c r="P423" i="3"/>
  <c r="Q423" i="3" s="1"/>
  <c r="R423" i="3" s="1"/>
  <c r="S423" i="3" s="1"/>
  <c r="Z423" i="3"/>
  <c r="AC423" i="3"/>
  <c r="AA423" i="3"/>
  <c r="U422" i="3" l="1"/>
  <c r="Y421" i="3"/>
  <c r="T423" i="3"/>
  <c r="D423" i="3" l="1"/>
  <c r="G423" i="3" s="1"/>
  <c r="AH423" i="3"/>
  <c r="E423" i="3"/>
  <c r="H423" i="3" s="1"/>
  <c r="K423" i="3" s="1"/>
  <c r="AE423" i="3" s="1"/>
  <c r="AG423" i="3"/>
  <c r="F423" i="3" l="1"/>
  <c r="V423" i="3"/>
  <c r="A424" i="3"/>
  <c r="B424" i="3" s="1"/>
  <c r="I423" i="3"/>
  <c r="J423" i="3"/>
  <c r="AD423" i="3" s="1"/>
  <c r="M423" i="3"/>
  <c r="N423" i="3" s="1"/>
  <c r="W423" i="3" l="1"/>
  <c r="L423" i="3"/>
  <c r="AA424" i="3"/>
  <c r="P424" i="3"/>
  <c r="Q424" i="3" s="1"/>
  <c r="R424" i="3" s="1"/>
  <c r="S424" i="3" s="1"/>
  <c r="Z424" i="3"/>
  <c r="AC424" i="3"/>
  <c r="T424" i="3" l="1"/>
  <c r="U423" i="3"/>
  <c r="Y422" i="3"/>
  <c r="D424" i="3" l="1"/>
  <c r="G424" i="3" s="1"/>
  <c r="E424" i="3"/>
  <c r="H424" i="3" s="1"/>
  <c r="K424" i="3" s="1"/>
  <c r="AE424" i="3" s="1"/>
  <c r="AG424" i="3"/>
  <c r="AH424" i="3"/>
  <c r="F424" i="3" l="1"/>
  <c r="V424" i="3"/>
  <c r="A425" i="3"/>
  <c r="B425" i="3" s="1"/>
  <c r="I424" i="3"/>
  <c r="J424" i="3"/>
  <c r="AD424" i="3" s="1"/>
  <c r="M424" i="3"/>
  <c r="N424" i="3" s="1"/>
  <c r="W424" i="3" l="1"/>
  <c r="L424" i="3"/>
  <c r="Z425" i="3"/>
  <c r="AA425" i="3"/>
  <c r="P425" i="3"/>
  <c r="Q425" i="3" s="1"/>
  <c r="R425" i="3" s="1"/>
  <c r="S425" i="3" s="1"/>
  <c r="AC425" i="3"/>
  <c r="AD425" i="3"/>
  <c r="U424" i="3" l="1"/>
  <c r="Y423" i="3"/>
  <c r="T425" i="3"/>
  <c r="E425" i="3" l="1"/>
  <c r="H425" i="3" s="1"/>
  <c r="K425" i="3" s="1"/>
  <c r="AE425" i="3" s="1"/>
  <c r="D425" i="3"/>
  <c r="G425" i="3" s="1"/>
  <c r="AH425" i="3"/>
  <c r="AG425" i="3"/>
  <c r="F425" i="3" l="1"/>
  <c r="I425" i="3"/>
  <c r="J425" i="3"/>
  <c r="M425" i="3"/>
  <c r="N425" i="3" s="1"/>
  <c r="V425" i="3"/>
  <c r="A426" i="3"/>
  <c r="B426" i="3" s="1"/>
  <c r="L425" i="3" l="1"/>
  <c r="W425" i="3"/>
  <c r="P426" i="3"/>
  <c r="Q426" i="3" s="1"/>
  <c r="R426" i="3" s="1"/>
  <c r="S426" i="3" s="1"/>
  <c r="AA426" i="3"/>
  <c r="AD426" i="3"/>
  <c r="Z426" i="3"/>
  <c r="AC426" i="3"/>
  <c r="U425" i="3" l="1"/>
  <c r="Y424" i="3"/>
  <c r="T426" i="3"/>
  <c r="AH426" i="3" s="1"/>
  <c r="E426" i="3" l="1"/>
  <c r="H426" i="3" s="1"/>
  <c r="D426" i="3"/>
  <c r="AG426" i="3"/>
  <c r="K426" i="3" l="1"/>
  <c r="AE426" i="3" s="1"/>
  <c r="F426" i="3"/>
  <c r="G426" i="3"/>
  <c r="V426" i="3" l="1"/>
  <c r="A427" i="3"/>
  <c r="B427" i="3" s="1"/>
  <c r="I426" i="3"/>
  <c r="J426" i="3"/>
  <c r="M426" i="3"/>
  <c r="N426" i="3" s="1"/>
  <c r="W426" i="3" l="1"/>
  <c r="L426" i="3"/>
  <c r="P427" i="3"/>
  <c r="Q427" i="3" s="1"/>
  <c r="R427" i="3" s="1"/>
  <c r="S427" i="3" s="1"/>
  <c r="AC427" i="3"/>
  <c r="AD427" i="3"/>
  <c r="Z427" i="3"/>
  <c r="AA427" i="3"/>
  <c r="U426" i="3" l="1"/>
  <c r="Y425" i="3"/>
  <c r="T427" i="3"/>
  <c r="AG427" i="3" s="1"/>
  <c r="D427" i="3" l="1"/>
  <c r="G427" i="3" s="1"/>
  <c r="E427" i="3"/>
  <c r="H427" i="3" s="1"/>
  <c r="K427" i="3" s="1"/>
  <c r="AE427" i="3" s="1"/>
  <c r="AH427" i="3"/>
  <c r="F427" i="3" l="1"/>
  <c r="I427" i="3"/>
  <c r="J427" i="3"/>
  <c r="M427" i="3"/>
  <c r="N427" i="3" s="1"/>
  <c r="V427" i="3"/>
  <c r="A428" i="3"/>
  <c r="B428" i="3" s="1"/>
  <c r="W427" i="3" l="1"/>
  <c r="L427" i="3"/>
  <c r="P428" i="3"/>
  <c r="Q428" i="3" s="1"/>
  <c r="R428" i="3" s="1"/>
  <c r="S428" i="3" s="1"/>
  <c r="AC428" i="3"/>
  <c r="Z428" i="3"/>
  <c r="AA428" i="3"/>
  <c r="AD428" i="3"/>
  <c r="U427" i="3" l="1"/>
  <c r="Y426" i="3"/>
  <c r="T428" i="3"/>
  <c r="AG428" i="3" s="1"/>
  <c r="E428" i="3" l="1"/>
  <c r="H428" i="3" s="1"/>
  <c r="AH428" i="3"/>
  <c r="D428" i="3"/>
  <c r="K428" i="3" l="1"/>
  <c r="AE428" i="3" s="1"/>
  <c r="F428" i="3"/>
  <c r="G428" i="3"/>
  <c r="I428" i="3" l="1"/>
  <c r="J428" i="3"/>
  <c r="M428" i="3"/>
  <c r="N428" i="3" s="1"/>
  <c r="V428" i="3"/>
  <c r="A429" i="3"/>
  <c r="B429" i="3" s="1"/>
  <c r="W428" i="3" l="1"/>
  <c r="AD429" i="3"/>
  <c r="Z429" i="3"/>
  <c r="AC429" i="3"/>
  <c r="P429" i="3"/>
  <c r="Q429" i="3" s="1"/>
  <c r="R429" i="3" s="1"/>
  <c r="S429" i="3" s="1"/>
  <c r="AA429" i="3"/>
  <c r="L428" i="3"/>
  <c r="U428" i="3" l="1"/>
  <c r="Y427" i="3"/>
  <c r="T429" i="3"/>
  <c r="D429" i="3" l="1"/>
  <c r="G429" i="3" s="1"/>
  <c r="E429" i="3"/>
  <c r="H429" i="3" s="1"/>
  <c r="K429" i="3" s="1"/>
  <c r="AE429" i="3" s="1"/>
  <c r="AG429" i="3"/>
  <c r="AH429" i="3"/>
  <c r="F429" i="3" l="1"/>
  <c r="I429" i="3"/>
  <c r="J429" i="3"/>
  <c r="M429" i="3"/>
  <c r="N429" i="3" s="1"/>
  <c r="V429" i="3"/>
  <c r="A430" i="3"/>
  <c r="B430" i="3" s="1"/>
  <c r="L429" i="3" l="1"/>
  <c r="W429" i="3"/>
  <c r="AA430" i="3"/>
  <c r="Z430" i="3"/>
  <c r="P430" i="3"/>
  <c r="Q430" i="3" s="1"/>
  <c r="R430" i="3" s="1"/>
  <c r="S430" i="3" s="1"/>
  <c r="AC430" i="3"/>
  <c r="AD430" i="3"/>
  <c r="U429" i="3" l="1"/>
  <c r="Y428" i="3"/>
  <c r="T430" i="3"/>
  <c r="D430" i="3" l="1"/>
  <c r="G430" i="3" s="1"/>
  <c r="AH430" i="3"/>
  <c r="E430" i="3"/>
  <c r="H430" i="3" s="1"/>
  <c r="AG430" i="3"/>
  <c r="F430" i="3" l="1"/>
  <c r="I430" i="3"/>
  <c r="J430" i="3"/>
  <c r="M430" i="3"/>
  <c r="N430" i="3" s="1"/>
  <c r="K430" i="3"/>
  <c r="AE430" i="3" s="1"/>
  <c r="V430" i="3" l="1"/>
  <c r="W430" i="3" s="1"/>
  <c r="A431" i="3"/>
  <c r="B431" i="3" s="1"/>
  <c r="L430" i="3"/>
  <c r="U430" i="3" l="1"/>
  <c r="Y429" i="3"/>
  <c r="AC431" i="3"/>
  <c r="Z431" i="3"/>
  <c r="P431" i="3"/>
  <c r="Q431" i="3" s="1"/>
  <c r="R431" i="3" s="1"/>
  <c r="S431" i="3" s="1"/>
  <c r="AA431" i="3"/>
  <c r="AD431" i="3"/>
  <c r="T431" i="3" l="1"/>
  <c r="AH431" i="3" s="1"/>
  <c r="E431" i="3" l="1"/>
  <c r="H431" i="3" s="1"/>
  <c r="AG431" i="3"/>
  <c r="D431" i="3"/>
  <c r="K431" i="3" l="1"/>
  <c r="AE431" i="3" s="1"/>
  <c r="F431" i="3"/>
  <c r="G431" i="3"/>
  <c r="V431" i="3" l="1"/>
  <c r="A432" i="3"/>
  <c r="B432" i="3" s="1"/>
  <c r="I431" i="3"/>
  <c r="J431" i="3"/>
  <c r="M431" i="3"/>
  <c r="N431" i="3" s="1"/>
  <c r="W431" i="3" l="1"/>
  <c r="L431" i="3"/>
  <c r="AA432" i="3"/>
  <c r="P432" i="3"/>
  <c r="Q432" i="3" s="1"/>
  <c r="R432" i="3" s="1"/>
  <c r="S432" i="3" s="1"/>
  <c r="AC432" i="3"/>
  <c r="Z432" i="3"/>
  <c r="AD432" i="3"/>
  <c r="T432" i="3" l="1"/>
  <c r="AH432" i="3" s="1"/>
  <c r="U431" i="3"/>
  <c r="Y430" i="3"/>
  <c r="AG432" i="3" l="1"/>
  <c r="E432" i="3"/>
  <c r="H432" i="3" s="1"/>
  <c r="D432" i="3"/>
  <c r="K432" i="3" l="1"/>
  <c r="AE432" i="3" s="1"/>
  <c r="F432" i="3"/>
  <c r="G432" i="3"/>
  <c r="I432" i="3" l="1"/>
  <c r="J432" i="3"/>
  <c r="M432" i="3"/>
  <c r="N432" i="3" s="1"/>
  <c r="V432" i="3"/>
  <c r="A433" i="3"/>
  <c r="B433" i="3" s="1"/>
  <c r="W432" i="3" l="1"/>
  <c r="L432" i="3"/>
  <c r="P433" i="3"/>
  <c r="Q433" i="3" s="1"/>
  <c r="R433" i="3" s="1"/>
  <c r="S433" i="3" s="1"/>
  <c r="AC433" i="3"/>
  <c r="Z433" i="3"/>
  <c r="AA433" i="3"/>
  <c r="AD433" i="3"/>
  <c r="U432" i="3" l="1"/>
  <c r="Y431" i="3"/>
  <c r="T433" i="3"/>
  <c r="E433" i="3" l="1"/>
  <c r="H433" i="3" s="1"/>
  <c r="K433" i="3" s="1"/>
  <c r="AE433" i="3" s="1"/>
  <c r="D433" i="3"/>
  <c r="AG433" i="3"/>
  <c r="AH433" i="3"/>
  <c r="F433" i="3" l="1"/>
  <c r="G433" i="3"/>
  <c r="M433" i="3" s="1"/>
  <c r="N433" i="3" s="1"/>
  <c r="V433" i="3"/>
  <c r="A434" i="3"/>
  <c r="B434" i="3" s="1"/>
  <c r="I433" i="3" l="1"/>
  <c r="W433" i="3" s="1"/>
  <c r="J433" i="3"/>
  <c r="L433" i="3" s="1"/>
  <c r="P434" i="3"/>
  <c r="Q434" i="3" s="1"/>
  <c r="R434" i="3" s="1"/>
  <c r="S434" i="3" s="1"/>
  <c r="Z434" i="3"/>
  <c r="AA434" i="3"/>
  <c r="AC434" i="3"/>
  <c r="U433" i="3" l="1"/>
  <c r="Y432" i="3"/>
  <c r="T434" i="3"/>
  <c r="AH434" i="3" s="1"/>
  <c r="E434" i="3" l="1"/>
  <c r="H434" i="3" s="1"/>
  <c r="K434" i="3" s="1"/>
  <c r="AE434" i="3" s="1"/>
  <c r="AG434" i="3"/>
  <c r="D434" i="3"/>
  <c r="F434" i="3" l="1"/>
  <c r="G434" i="3"/>
  <c r="M434" i="3" s="1"/>
  <c r="N434" i="3" s="1"/>
  <c r="V434" i="3"/>
  <c r="A435" i="3"/>
  <c r="B435" i="3" s="1"/>
  <c r="I434" i="3" l="1"/>
  <c r="W434" i="3" s="1"/>
  <c r="J434" i="3"/>
  <c r="P435" i="3"/>
  <c r="Q435" i="3" s="1"/>
  <c r="R435" i="3" s="1"/>
  <c r="S435" i="3" s="1"/>
  <c r="AA435" i="3"/>
  <c r="AD435" i="3"/>
  <c r="AC435" i="3"/>
  <c r="Z435" i="3"/>
  <c r="L434" i="3" l="1"/>
  <c r="Y433" i="3" s="1"/>
  <c r="AD434" i="3"/>
  <c r="T435" i="3"/>
  <c r="U434" i="3" l="1"/>
  <c r="E435" i="3" s="1"/>
  <c r="H435" i="3" s="1"/>
  <c r="AG435" i="3"/>
  <c r="AH435" i="3"/>
  <c r="D435" i="3" l="1"/>
  <c r="G435" i="3" s="1"/>
  <c r="I435" i="3" s="1"/>
  <c r="K435" i="3"/>
  <c r="AE435" i="3" s="1"/>
  <c r="J435" i="3" l="1"/>
  <c r="L435" i="3" s="1"/>
  <c r="M435" i="3"/>
  <c r="N435" i="3" s="1"/>
  <c r="F435" i="3"/>
  <c r="V435" i="3"/>
  <c r="W435" i="3" s="1"/>
  <c r="A436" i="3"/>
  <c r="B436" i="3" s="1"/>
  <c r="AC436" i="3" l="1"/>
  <c r="Z436" i="3"/>
  <c r="P436" i="3"/>
  <c r="Q436" i="3" s="1"/>
  <c r="R436" i="3" s="1"/>
  <c r="S436" i="3" s="1"/>
  <c r="AA436" i="3"/>
  <c r="AD436" i="3"/>
  <c r="U435" i="3"/>
  <c r="Y434" i="3"/>
  <c r="T436" i="3" l="1"/>
  <c r="E436" i="3" l="1"/>
  <c r="H436" i="3" s="1"/>
  <c r="D436" i="3"/>
  <c r="AH436" i="3"/>
  <c r="AG436" i="3"/>
  <c r="F436" i="3" l="1"/>
  <c r="G436" i="3"/>
  <c r="K436" i="3"/>
  <c r="AE436" i="3" s="1"/>
  <c r="I436" i="3" l="1"/>
  <c r="J436" i="3"/>
  <c r="M436" i="3"/>
  <c r="N436" i="3" s="1"/>
  <c r="V436" i="3"/>
  <c r="A437" i="3"/>
  <c r="B437" i="3" s="1"/>
  <c r="W436" i="3" l="1"/>
  <c r="L436" i="3"/>
  <c r="AC437" i="3"/>
  <c r="AA437" i="3"/>
  <c r="P437" i="3"/>
  <c r="Q437" i="3" s="1"/>
  <c r="R437" i="3" s="1"/>
  <c r="S437" i="3" s="1"/>
  <c r="AD437" i="3"/>
  <c r="Z437" i="3"/>
  <c r="U436" i="3" l="1"/>
  <c r="Y435" i="3"/>
  <c r="T437" i="3"/>
  <c r="AH437" i="3" s="1"/>
  <c r="D437" i="3" l="1"/>
  <c r="G437" i="3" s="1"/>
  <c r="E437" i="3"/>
  <c r="H437" i="3" s="1"/>
  <c r="K437" i="3" s="1"/>
  <c r="AE437" i="3" s="1"/>
  <c r="AG437" i="3"/>
  <c r="F437" i="3" l="1"/>
  <c r="I437" i="3"/>
  <c r="J437" i="3"/>
  <c r="M437" i="3"/>
  <c r="N437" i="3" s="1"/>
  <c r="V437" i="3"/>
  <c r="A438" i="3"/>
  <c r="B438" i="3" s="1"/>
  <c r="W437" i="3" l="1"/>
  <c r="L437" i="3"/>
  <c r="Z438" i="3"/>
  <c r="P438" i="3"/>
  <c r="Q438" i="3" s="1"/>
  <c r="R438" i="3" s="1"/>
  <c r="S438" i="3" s="1"/>
  <c r="AC438" i="3"/>
  <c r="AD438" i="3"/>
  <c r="AA438" i="3"/>
  <c r="U437" i="3" l="1"/>
  <c r="Y436" i="3"/>
  <c r="T438" i="3"/>
  <c r="E438" i="3" l="1"/>
  <c r="H438" i="3" s="1"/>
  <c r="K438" i="3" s="1"/>
  <c r="AE438" i="3" s="1"/>
  <c r="D438" i="3"/>
  <c r="AH438" i="3"/>
  <c r="AG438" i="3"/>
  <c r="V438" i="3" l="1"/>
  <c r="A439" i="3"/>
  <c r="B439" i="3" s="1"/>
  <c r="F438" i="3"/>
  <c r="G438" i="3"/>
  <c r="I438" i="3" l="1"/>
  <c r="W438" i="3" s="1"/>
  <c r="J438" i="3"/>
  <c r="M438" i="3"/>
  <c r="N438" i="3" s="1"/>
  <c r="Z439" i="3"/>
  <c r="P439" i="3"/>
  <c r="Q439" i="3" s="1"/>
  <c r="R439" i="3" s="1"/>
  <c r="S439" i="3" s="1"/>
  <c r="AD439" i="3"/>
  <c r="AC439" i="3"/>
  <c r="AA439" i="3"/>
  <c r="T439" i="3" l="1"/>
  <c r="L438" i="3"/>
  <c r="AG439" i="3" l="1"/>
  <c r="AH439" i="3"/>
  <c r="U438" i="3"/>
  <c r="E439" i="3" s="1"/>
  <c r="H439" i="3" s="1"/>
  <c r="Y437" i="3"/>
  <c r="D439" i="3" l="1"/>
  <c r="G439" i="3" s="1"/>
  <c r="K439" i="3"/>
  <c r="AE439" i="3" s="1"/>
  <c r="F439" i="3" l="1"/>
  <c r="V439" i="3"/>
  <c r="A440" i="3"/>
  <c r="B440" i="3" s="1"/>
  <c r="I439" i="3"/>
  <c r="J439" i="3"/>
  <c r="M439" i="3"/>
  <c r="N439" i="3" s="1"/>
  <c r="W439" i="3" l="1"/>
  <c r="L439" i="3"/>
  <c r="Z440" i="3"/>
  <c r="AC440" i="3"/>
  <c r="P440" i="3"/>
  <c r="Q440" i="3" s="1"/>
  <c r="R440" i="3" s="1"/>
  <c r="S440" i="3" s="1"/>
  <c r="AA440" i="3"/>
  <c r="AD440" i="3"/>
  <c r="T440" i="3" l="1"/>
  <c r="AH440" i="3" s="1"/>
  <c r="U439" i="3"/>
  <c r="Y438" i="3"/>
  <c r="AG440" i="3" l="1"/>
  <c r="D440" i="3"/>
  <c r="E440" i="3"/>
  <c r="H440" i="3" s="1"/>
  <c r="K440" i="3" l="1"/>
  <c r="AE440" i="3" s="1"/>
  <c r="F440" i="3"/>
  <c r="G440" i="3"/>
  <c r="I440" i="3" l="1"/>
  <c r="J440" i="3"/>
  <c r="M440" i="3"/>
  <c r="N440" i="3" s="1"/>
  <c r="V440" i="3"/>
  <c r="A441" i="3"/>
  <c r="B441" i="3" s="1"/>
  <c r="W440" i="3" l="1"/>
  <c r="L440" i="3"/>
  <c r="P441" i="3"/>
  <c r="Q441" i="3" s="1"/>
  <c r="R441" i="3" s="1"/>
  <c r="S441" i="3" s="1"/>
  <c r="AD441" i="3"/>
  <c r="AC441" i="3"/>
  <c r="Z441" i="3"/>
  <c r="AA441" i="3"/>
  <c r="T441" i="3" l="1"/>
  <c r="AH441" i="3" s="1"/>
  <c r="U440" i="3"/>
  <c r="Y439" i="3"/>
  <c r="E441" i="3" l="1"/>
  <c r="H441" i="3" s="1"/>
  <c r="K441" i="3" s="1"/>
  <c r="AE441" i="3" s="1"/>
  <c r="AG441" i="3"/>
  <c r="D441" i="3"/>
  <c r="V441" i="3" l="1"/>
  <c r="A442" i="3"/>
  <c r="B442" i="3" s="1"/>
  <c r="F441" i="3"/>
  <c r="G441" i="3"/>
  <c r="I441" i="3" l="1"/>
  <c r="W441" i="3" s="1"/>
  <c r="J441" i="3"/>
  <c r="M441" i="3"/>
  <c r="N441" i="3" s="1"/>
  <c r="AC442" i="3"/>
  <c r="AD442" i="3"/>
  <c r="AA442" i="3"/>
  <c r="P442" i="3"/>
  <c r="Q442" i="3" s="1"/>
  <c r="R442" i="3" s="1"/>
  <c r="S442" i="3" s="1"/>
  <c r="Z442" i="3"/>
  <c r="T442" i="3" l="1"/>
  <c r="L441" i="3"/>
  <c r="U441" i="3" l="1"/>
  <c r="D442" i="3" s="1"/>
  <c r="AH442" i="3"/>
  <c r="AG442" i="3"/>
  <c r="Y440" i="3"/>
  <c r="G442" i="3" l="1"/>
  <c r="E442" i="3"/>
  <c r="H442" i="3" s="1"/>
  <c r="I442" i="3" l="1"/>
  <c r="J442" i="3"/>
  <c r="M442" i="3"/>
  <c r="N442" i="3" s="1"/>
  <c r="F442" i="3"/>
  <c r="K442" i="3"/>
  <c r="AE442" i="3" s="1"/>
  <c r="V442" i="3" l="1"/>
  <c r="W442" i="3" s="1"/>
  <c r="A443" i="3"/>
  <c r="B443" i="3" s="1"/>
  <c r="L442" i="3"/>
  <c r="U442" i="3" l="1"/>
  <c r="Y441" i="3"/>
  <c r="Z443" i="3"/>
  <c r="P443" i="3"/>
  <c r="Q443" i="3" s="1"/>
  <c r="R443" i="3" s="1"/>
  <c r="S443" i="3" s="1"/>
  <c r="AD443" i="3"/>
  <c r="AC443" i="3"/>
  <c r="AA443" i="3"/>
  <c r="T443" i="3" l="1"/>
  <c r="D443" i="3" s="1"/>
  <c r="E443" i="3" l="1"/>
  <c r="H443" i="3" s="1"/>
  <c r="K443" i="3" s="1"/>
  <c r="AE443" i="3" s="1"/>
  <c r="G443" i="3"/>
  <c r="AG443" i="3"/>
  <c r="AH443" i="3"/>
  <c r="F443" i="3" l="1"/>
  <c r="V443" i="3"/>
  <c r="A444" i="3"/>
  <c r="B444" i="3" s="1"/>
  <c r="I443" i="3"/>
  <c r="J443" i="3"/>
  <c r="M443" i="3"/>
  <c r="N443" i="3" s="1"/>
  <c r="W443" i="3" l="1"/>
  <c r="L443" i="3"/>
  <c r="Z444" i="3"/>
  <c r="P444" i="3"/>
  <c r="Q444" i="3" s="1"/>
  <c r="R444" i="3" s="1"/>
  <c r="S444" i="3" s="1"/>
  <c r="AA444" i="3"/>
  <c r="AC444" i="3"/>
  <c r="U443" i="3" l="1"/>
  <c r="Y442" i="3"/>
  <c r="T444" i="3"/>
  <c r="AG444" i="3" s="1"/>
  <c r="AH444" i="3" l="1"/>
  <c r="D444" i="3"/>
  <c r="E444" i="3"/>
  <c r="H444" i="3" s="1"/>
  <c r="F444" i="3" l="1"/>
  <c r="G444" i="3"/>
  <c r="K444" i="3"/>
  <c r="AE444" i="3" s="1"/>
  <c r="I444" i="3" l="1"/>
  <c r="J444" i="3"/>
  <c r="AD444" i="3" s="1"/>
  <c r="M444" i="3"/>
  <c r="N444" i="3" s="1"/>
  <c r="V444" i="3"/>
  <c r="A445" i="3"/>
  <c r="B445" i="3" s="1"/>
  <c r="W444" i="3" l="1"/>
  <c r="L444" i="3"/>
  <c r="AA445" i="3"/>
  <c r="P445" i="3"/>
  <c r="Q445" i="3" s="1"/>
  <c r="R445" i="3" s="1"/>
  <c r="S445" i="3" s="1"/>
  <c r="Z445" i="3"/>
  <c r="AD445" i="3"/>
  <c r="AC445" i="3"/>
  <c r="T445" i="3" l="1"/>
  <c r="U444" i="3"/>
  <c r="Y443" i="3"/>
  <c r="D445" i="3" l="1"/>
  <c r="G445" i="3" s="1"/>
  <c r="AG445" i="3"/>
  <c r="E445" i="3"/>
  <c r="H445" i="3" s="1"/>
  <c r="AH445" i="3"/>
  <c r="K445" i="3" l="1"/>
  <c r="AE445" i="3" s="1"/>
  <c r="I445" i="3"/>
  <c r="J445" i="3"/>
  <c r="M445" i="3"/>
  <c r="N445" i="3" s="1"/>
  <c r="F445" i="3"/>
  <c r="L445" i="3" l="1"/>
  <c r="V445" i="3"/>
  <c r="W445" i="3" s="1"/>
  <c r="A446" i="3"/>
  <c r="B446" i="3" s="1"/>
  <c r="AD446" i="3" l="1"/>
  <c r="AC446" i="3"/>
  <c r="P446" i="3"/>
  <c r="Q446" i="3" s="1"/>
  <c r="R446" i="3" s="1"/>
  <c r="S446" i="3" s="1"/>
  <c r="Z446" i="3"/>
  <c r="AA446" i="3"/>
  <c r="U445" i="3"/>
  <c r="Y444" i="3"/>
  <c r="T446" i="3" l="1"/>
  <c r="D446" i="3" s="1"/>
  <c r="AG446" i="3" l="1"/>
  <c r="G446" i="3"/>
  <c r="E446" i="3"/>
  <c r="H446" i="3" s="1"/>
  <c r="AH446" i="3"/>
  <c r="K446" i="3" l="1"/>
  <c r="AE446" i="3" s="1"/>
  <c r="F446" i="3"/>
  <c r="I446" i="3"/>
  <c r="J446" i="3"/>
  <c r="M446" i="3"/>
  <c r="N446" i="3" s="1"/>
  <c r="L446" i="3" l="1"/>
  <c r="V446" i="3"/>
  <c r="W446" i="3" s="1"/>
  <c r="A447" i="3"/>
  <c r="B447" i="3" s="1"/>
  <c r="Z447" i="3" l="1"/>
  <c r="P447" i="3"/>
  <c r="Q447" i="3" s="1"/>
  <c r="R447" i="3" s="1"/>
  <c r="S447" i="3" s="1"/>
  <c r="AC447" i="3"/>
  <c r="AA447" i="3"/>
  <c r="AD447" i="3"/>
  <c r="U446" i="3"/>
  <c r="Y445" i="3"/>
  <c r="T447" i="3" l="1"/>
  <c r="AG447" i="3" s="1"/>
  <c r="D447" i="3" l="1"/>
  <c r="G447" i="3" s="1"/>
  <c r="AH447" i="3"/>
  <c r="E447" i="3"/>
  <c r="H447" i="3" s="1"/>
  <c r="K447" i="3" s="1"/>
  <c r="AE447" i="3" s="1"/>
  <c r="F447" i="3" l="1"/>
  <c r="I447" i="3"/>
  <c r="J447" i="3"/>
  <c r="M447" i="3"/>
  <c r="N447" i="3" s="1"/>
  <c r="V447" i="3"/>
  <c r="A448" i="3"/>
  <c r="B448" i="3" s="1"/>
  <c r="W447" i="3" l="1"/>
  <c r="L447" i="3"/>
  <c r="AD448" i="3"/>
  <c r="Z448" i="3"/>
  <c r="AA448" i="3"/>
  <c r="P448" i="3"/>
  <c r="Q448" i="3" s="1"/>
  <c r="R448" i="3" s="1"/>
  <c r="S448" i="3" s="1"/>
  <c r="AC448" i="3"/>
  <c r="T448" i="3" l="1"/>
  <c r="AG448" i="3" s="1"/>
  <c r="U447" i="3"/>
  <c r="Y446" i="3"/>
  <c r="D448" i="3" l="1"/>
  <c r="G448" i="3" s="1"/>
  <c r="E448" i="3"/>
  <c r="H448" i="3" s="1"/>
  <c r="AH448" i="3"/>
  <c r="F448" i="3" l="1"/>
  <c r="I448" i="3"/>
  <c r="J448" i="3"/>
  <c r="M448" i="3"/>
  <c r="N448" i="3" s="1"/>
  <c r="K448" i="3"/>
  <c r="AE448" i="3" s="1"/>
  <c r="V448" i="3" l="1"/>
  <c r="W448" i="3" s="1"/>
  <c r="A449" i="3"/>
  <c r="B449" i="3" s="1"/>
  <c r="L448" i="3"/>
  <c r="U448" i="3" l="1"/>
  <c r="Y447" i="3"/>
  <c r="P449" i="3"/>
  <c r="Q449" i="3" s="1"/>
  <c r="R449" i="3" s="1"/>
  <c r="S449" i="3" s="1"/>
  <c r="AD449" i="3"/>
  <c r="AA449" i="3"/>
  <c r="Z449" i="3"/>
  <c r="AC449" i="3"/>
  <c r="T449" i="3" l="1"/>
  <c r="D449" i="3" s="1"/>
  <c r="G449" i="3" l="1"/>
  <c r="AG449" i="3"/>
  <c r="AH449" i="3"/>
  <c r="E449" i="3"/>
  <c r="H449" i="3" s="1"/>
  <c r="K449" i="3" l="1"/>
  <c r="AE449" i="3" s="1"/>
  <c r="F449" i="3"/>
  <c r="I449" i="3"/>
  <c r="J449" i="3"/>
  <c r="M449" i="3"/>
  <c r="N449" i="3" s="1"/>
  <c r="L449" i="3" l="1"/>
  <c r="V449" i="3"/>
  <c r="W449" i="3" s="1"/>
  <c r="A450" i="3"/>
  <c r="B450" i="3" s="1"/>
  <c r="P450" i="3" l="1"/>
  <c r="Q450" i="3" s="1"/>
  <c r="R450" i="3" s="1"/>
  <c r="S450" i="3" s="1"/>
  <c r="AD450" i="3"/>
  <c r="Z450" i="3"/>
  <c r="AC450" i="3"/>
  <c r="AA450" i="3"/>
  <c r="U449" i="3"/>
  <c r="Y448" i="3"/>
  <c r="T450" i="3" l="1"/>
  <c r="D450" i="3" s="1"/>
  <c r="AH450" i="3" l="1"/>
  <c r="G450" i="3"/>
  <c r="E450" i="3"/>
  <c r="H450" i="3" s="1"/>
  <c r="AG450" i="3"/>
  <c r="F450" i="3" l="1"/>
  <c r="I450" i="3"/>
  <c r="J450" i="3"/>
  <c r="M450" i="3"/>
  <c r="N450" i="3" s="1"/>
  <c r="K450" i="3"/>
  <c r="AE450" i="3" s="1"/>
  <c r="V450" i="3" l="1"/>
  <c r="W450" i="3" s="1"/>
  <c r="A451" i="3"/>
  <c r="B451" i="3" s="1"/>
  <c r="L450" i="3"/>
  <c r="U450" i="3" l="1"/>
  <c r="Y449" i="3"/>
  <c r="P451" i="3"/>
  <c r="Q451" i="3" s="1"/>
  <c r="R451" i="3" s="1"/>
  <c r="S451" i="3" s="1"/>
  <c r="Z451" i="3"/>
  <c r="AD451" i="3"/>
  <c r="AA451" i="3"/>
  <c r="AC451" i="3"/>
  <c r="T451" i="3" l="1"/>
  <c r="AG451" i="3" s="1"/>
  <c r="E451" i="3" l="1"/>
  <c r="H451" i="3" s="1"/>
  <c r="K451" i="3" s="1"/>
  <c r="AE451" i="3" s="1"/>
  <c r="AH451" i="3"/>
  <c r="D451" i="3"/>
  <c r="V451" i="3" l="1"/>
  <c r="A452" i="3"/>
  <c r="B452" i="3" s="1"/>
  <c r="F451" i="3"/>
  <c r="G451" i="3"/>
  <c r="I451" i="3" l="1"/>
  <c r="W451" i="3" s="1"/>
  <c r="J451" i="3"/>
  <c r="M451" i="3"/>
  <c r="N451" i="3" s="1"/>
  <c r="AA452" i="3"/>
  <c r="P452" i="3"/>
  <c r="Q452" i="3" s="1"/>
  <c r="R452" i="3" s="1"/>
  <c r="S452" i="3" s="1"/>
  <c r="AC452" i="3"/>
  <c r="Z452" i="3"/>
  <c r="AD452" i="3"/>
  <c r="T452" i="3" l="1"/>
  <c r="L451" i="3"/>
  <c r="U451" i="3" l="1"/>
  <c r="D452" i="3" s="1"/>
  <c r="AH452" i="3"/>
  <c r="AG452" i="3"/>
  <c r="Y450" i="3"/>
  <c r="E452" i="3" l="1"/>
  <c r="H452" i="3" s="1"/>
  <c r="K452" i="3" s="1"/>
  <c r="AE452" i="3" s="1"/>
  <c r="G452" i="3"/>
  <c r="F452" i="3" l="1"/>
  <c r="I452" i="3"/>
  <c r="J452" i="3"/>
  <c r="M452" i="3"/>
  <c r="N452" i="3" s="1"/>
  <c r="V452" i="3"/>
  <c r="A453" i="3"/>
  <c r="B453" i="3" s="1"/>
  <c r="W452" i="3" l="1"/>
  <c r="L452" i="3"/>
  <c r="AA453" i="3"/>
  <c r="P453" i="3"/>
  <c r="Q453" i="3" s="1"/>
  <c r="R453" i="3" s="1"/>
  <c r="S453" i="3" s="1"/>
  <c r="AC453" i="3"/>
  <c r="AD453" i="3"/>
  <c r="Z453" i="3"/>
  <c r="U452" i="3" l="1"/>
  <c r="Y451" i="3"/>
  <c r="T453" i="3"/>
  <c r="AH453" i="3" s="1"/>
  <c r="AG453" i="3" l="1"/>
  <c r="E453" i="3"/>
  <c r="H453" i="3" s="1"/>
  <c r="D453" i="3"/>
  <c r="K453" i="3" l="1"/>
  <c r="AE453" i="3" s="1"/>
  <c r="F453" i="3"/>
  <c r="G453" i="3"/>
  <c r="I453" i="3" l="1"/>
  <c r="J453" i="3"/>
  <c r="M453" i="3"/>
  <c r="N453" i="3" s="1"/>
  <c r="V453" i="3"/>
  <c r="A454" i="3"/>
  <c r="B454" i="3" s="1"/>
  <c r="W453" i="3" l="1"/>
  <c r="AA454" i="3"/>
  <c r="AC454" i="3"/>
  <c r="Z454" i="3"/>
  <c r="P454" i="3"/>
  <c r="Q454" i="3" s="1"/>
  <c r="R454" i="3" s="1"/>
  <c r="S454" i="3" s="1"/>
  <c r="L453" i="3"/>
  <c r="U453" i="3" l="1"/>
  <c r="Y452" i="3"/>
  <c r="T454" i="3"/>
  <c r="E454" i="3" l="1"/>
  <c r="H454" i="3" s="1"/>
  <c r="K454" i="3" s="1"/>
  <c r="AE454" i="3" s="1"/>
  <c r="AH454" i="3"/>
  <c r="AG454" i="3"/>
  <c r="D454" i="3"/>
  <c r="F454" i="3" l="1"/>
  <c r="G454" i="3"/>
  <c r="V454" i="3"/>
  <c r="A455" i="3"/>
  <c r="B455" i="3" s="1"/>
  <c r="AC455" i="3" l="1"/>
  <c r="AD455" i="3"/>
  <c r="AA455" i="3"/>
  <c r="Z455" i="3"/>
  <c r="P455" i="3"/>
  <c r="Q455" i="3" s="1"/>
  <c r="R455" i="3" s="1"/>
  <c r="S455" i="3" s="1"/>
  <c r="I454" i="3"/>
  <c r="W454" i="3" s="1"/>
  <c r="J454" i="3"/>
  <c r="AD454" i="3" s="1"/>
  <c r="M454" i="3"/>
  <c r="N454" i="3" s="1"/>
  <c r="L454" i="3" l="1"/>
  <c r="T455" i="3"/>
  <c r="AH455" i="3" l="1"/>
  <c r="U454" i="3"/>
  <c r="D455" i="3" s="1"/>
  <c r="AG455" i="3"/>
  <c r="Y453" i="3"/>
  <c r="E455" i="3" l="1"/>
  <c r="H455" i="3" s="1"/>
  <c r="K455" i="3" s="1"/>
  <c r="AE455" i="3" s="1"/>
  <c r="G455" i="3"/>
  <c r="F455" i="3" l="1"/>
  <c r="I455" i="3"/>
  <c r="J455" i="3"/>
  <c r="M455" i="3"/>
  <c r="N455" i="3" s="1"/>
  <c r="V455" i="3"/>
  <c r="A456" i="3"/>
  <c r="B456" i="3" s="1"/>
  <c r="W455" i="3" l="1"/>
  <c r="L455" i="3"/>
  <c r="AC456" i="3"/>
  <c r="P456" i="3"/>
  <c r="Q456" i="3" s="1"/>
  <c r="R456" i="3" s="1"/>
  <c r="S456" i="3" s="1"/>
  <c r="AD456" i="3"/>
  <c r="Z456" i="3"/>
  <c r="AA456" i="3"/>
  <c r="U455" i="3" l="1"/>
  <c r="Y454" i="3"/>
  <c r="T456" i="3"/>
  <c r="AG456" i="3" s="1"/>
  <c r="D456" i="3" l="1"/>
  <c r="G456" i="3" s="1"/>
  <c r="AH456" i="3"/>
  <c r="E456" i="3"/>
  <c r="H456" i="3" s="1"/>
  <c r="I456" i="3" l="1"/>
  <c r="J456" i="3"/>
  <c r="M456" i="3"/>
  <c r="N456" i="3" s="1"/>
  <c r="K456" i="3"/>
  <c r="AE456" i="3" s="1"/>
  <c r="F456" i="3"/>
  <c r="V456" i="3" l="1"/>
  <c r="W456" i="3" s="1"/>
  <c r="A457" i="3"/>
  <c r="B457" i="3" s="1"/>
  <c r="L456" i="3"/>
  <c r="Z457" i="3" l="1"/>
  <c r="AC457" i="3"/>
  <c r="P457" i="3"/>
  <c r="Q457" i="3" s="1"/>
  <c r="R457" i="3" s="1"/>
  <c r="S457" i="3" s="1"/>
  <c r="AD457" i="3"/>
  <c r="AA457" i="3"/>
  <c r="U456" i="3"/>
  <c r="Y455" i="3"/>
  <c r="T457" i="3" l="1"/>
  <c r="D457" i="3" l="1"/>
  <c r="AH457" i="3"/>
  <c r="E457" i="3"/>
  <c r="H457" i="3" s="1"/>
  <c r="AG457" i="3"/>
  <c r="F457" i="3" l="1"/>
  <c r="G457" i="3"/>
  <c r="K457" i="3"/>
  <c r="AE457" i="3" s="1"/>
  <c r="I457" i="3" l="1"/>
  <c r="J457" i="3"/>
  <c r="M457" i="3"/>
  <c r="N457" i="3" s="1"/>
  <c r="V457" i="3"/>
  <c r="A458" i="3"/>
  <c r="B458" i="3" s="1"/>
  <c r="L457" i="3" l="1"/>
  <c r="W457" i="3"/>
  <c r="P458" i="3"/>
  <c r="Q458" i="3" s="1"/>
  <c r="R458" i="3" s="1"/>
  <c r="S458" i="3" s="1"/>
  <c r="AC458" i="3"/>
  <c r="Z458" i="3"/>
  <c r="AD458" i="3"/>
  <c r="AA458" i="3"/>
  <c r="U457" i="3" l="1"/>
  <c r="Y456" i="3"/>
  <c r="T458" i="3"/>
  <c r="AH458" i="3" s="1"/>
  <c r="AG458" i="3" l="1"/>
  <c r="E458" i="3"/>
  <c r="H458" i="3" s="1"/>
  <c r="D458" i="3"/>
  <c r="K458" i="3" l="1"/>
  <c r="AE458" i="3" s="1"/>
  <c r="F458" i="3"/>
  <c r="G458" i="3"/>
  <c r="V458" i="3" l="1"/>
  <c r="A459" i="3"/>
  <c r="B459" i="3" s="1"/>
  <c r="I458" i="3"/>
  <c r="J458" i="3"/>
  <c r="M458" i="3"/>
  <c r="N458" i="3" s="1"/>
  <c r="W458" i="3" l="1"/>
  <c r="L458" i="3"/>
  <c r="Z459" i="3"/>
  <c r="P459" i="3"/>
  <c r="Q459" i="3" s="1"/>
  <c r="R459" i="3" s="1"/>
  <c r="S459" i="3" s="1"/>
  <c r="AA459" i="3"/>
  <c r="AD459" i="3"/>
  <c r="AC459" i="3"/>
  <c r="T459" i="3" l="1"/>
  <c r="AH459" i="3" s="1"/>
  <c r="U458" i="3"/>
  <c r="Y457" i="3"/>
  <c r="AG459" i="3" l="1"/>
  <c r="D459" i="3"/>
  <c r="E459" i="3"/>
  <c r="H459" i="3" s="1"/>
  <c r="K459" i="3" l="1"/>
  <c r="AE459" i="3" s="1"/>
  <c r="F459" i="3"/>
  <c r="G459" i="3"/>
  <c r="I459" i="3" l="1"/>
  <c r="J459" i="3"/>
  <c r="M459" i="3"/>
  <c r="N459" i="3" s="1"/>
  <c r="V459" i="3"/>
  <c r="A460" i="3"/>
  <c r="B460" i="3" s="1"/>
  <c r="W459" i="3" l="1"/>
  <c r="L459" i="3"/>
  <c r="P460" i="3"/>
  <c r="Q460" i="3" s="1"/>
  <c r="R460" i="3" s="1"/>
  <c r="S460" i="3" s="1"/>
  <c r="AD460" i="3"/>
  <c r="Z460" i="3"/>
  <c r="AA460" i="3"/>
  <c r="AC460" i="3"/>
  <c r="U459" i="3" l="1"/>
  <c r="Y458" i="3"/>
  <c r="T460" i="3"/>
  <c r="D460" i="3" l="1"/>
  <c r="G460" i="3" s="1"/>
  <c r="AH460" i="3"/>
  <c r="E460" i="3"/>
  <c r="H460" i="3" s="1"/>
  <c r="AG460" i="3"/>
  <c r="F460" i="3" l="1"/>
  <c r="I460" i="3"/>
  <c r="J460" i="3"/>
  <c r="M460" i="3"/>
  <c r="N460" i="3" s="1"/>
  <c r="K460" i="3"/>
  <c r="AE460" i="3" s="1"/>
  <c r="V460" i="3" l="1"/>
  <c r="W460" i="3" s="1"/>
  <c r="A461" i="3"/>
  <c r="B461" i="3" s="1"/>
  <c r="L460" i="3"/>
  <c r="U460" i="3" l="1"/>
  <c r="Y459" i="3"/>
  <c r="AC461" i="3"/>
  <c r="Z461" i="3"/>
  <c r="P461" i="3"/>
  <c r="Q461" i="3" s="1"/>
  <c r="R461" i="3" s="1"/>
  <c r="S461" i="3" s="1"/>
  <c r="AA461" i="3"/>
  <c r="AD461" i="3"/>
  <c r="T461" i="3" l="1"/>
  <c r="D461" i="3" s="1"/>
  <c r="AG461" i="3" l="1"/>
  <c r="G461" i="3"/>
  <c r="AH461" i="3"/>
  <c r="E461" i="3"/>
  <c r="H461" i="3" s="1"/>
  <c r="F461" i="3" l="1"/>
  <c r="I461" i="3"/>
  <c r="J461" i="3"/>
  <c r="M461" i="3"/>
  <c r="N461" i="3" s="1"/>
  <c r="K461" i="3"/>
  <c r="AE461" i="3" s="1"/>
  <c r="V461" i="3" l="1"/>
  <c r="W461" i="3" s="1"/>
  <c r="A462" i="3"/>
  <c r="B462" i="3" s="1"/>
  <c r="L461" i="3"/>
  <c r="U461" i="3" l="1"/>
  <c r="Y460" i="3"/>
  <c r="Z462" i="3"/>
  <c r="P462" i="3"/>
  <c r="Q462" i="3" s="1"/>
  <c r="R462" i="3" s="1"/>
  <c r="S462" i="3" s="1"/>
  <c r="AD462" i="3"/>
  <c r="AA462" i="3"/>
  <c r="AC462" i="3"/>
  <c r="T462" i="3" l="1"/>
  <c r="E462" i="3" s="1"/>
  <c r="H462" i="3" s="1"/>
  <c r="AG462" i="3" l="1"/>
  <c r="AH462" i="3"/>
  <c r="D462" i="3"/>
  <c r="G462" i="3" s="1"/>
  <c r="K462" i="3"/>
  <c r="AE462" i="3" s="1"/>
  <c r="F462" i="3" l="1"/>
  <c r="V462" i="3"/>
  <c r="A463" i="3"/>
  <c r="B463" i="3" s="1"/>
  <c r="I462" i="3"/>
  <c r="J462" i="3"/>
  <c r="M462" i="3"/>
  <c r="N462" i="3" s="1"/>
  <c r="W462" i="3" l="1"/>
  <c r="L462" i="3"/>
  <c r="P463" i="3"/>
  <c r="Q463" i="3" s="1"/>
  <c r="R463" i="3" s="1"/>
  <c r="S463" i="3" s="1"/>
  <c r="AC463" i="3"/>
  <c r="Z463" i="3"/>
  <c r="AA463" i="3"/>
  <c r="AD463" i="3"/>
  <c r="U462" i="3" l="1"/>
  <c r="Y461" i="3"/>
  <c r="T463" i="3"/>
  <c r="AH463" i="3" s="1"/>
  <c r="AG463" i="3" l="1"/>
  <c r="D463" i="3"/>
  <c r="E463" i="3"/>
  <c r="H463" i="3" s="1"/>
  <c r="F463" i="3" l="1"/>
  <c r="G463" i="3"/>
  <c r="K463" i="3"/>
  <c r="AE463" i="3" s="1"/>
  <c r="V463" i="3" l="1"/>
  <c r="A464" i="3"/>
  <c r="B464" i="3" s="1"/>
  <c r="I463" i="3"/>
  <c r="J463" i="3"/>
  <c r="M463" i="3"/>
  <c r="N463" i="3" s="1"/>
  <c r="W463" i="3" l="1"/>
  <c r="L463" i="3"/>
  <c r="Z464" i="3"/>
  <c r="AC464" i="3"/>
  <c r="P464" i="3"/>
  <c r="Q464" i="3" s="1"/>
  <c r="R464" i="3" s="1"/>
  <c r="S464" i="3" s="1"/>
  <c r="AA464" i="3"/>
  <c r="T464" i="3" l="1"/>
  <c r="AG464" i="3" s="1"/>
  <c r="U463" i="3"/>
  <c r="Y462" i="3"/>
  <c r="AH464" i="3" l="1"/>
  <c r="D464" i="3"/>
  <c r="E464" i="3"/>
  <c r="H464" i="3" s="1"/>
  <c r="K464" i="3" l="1"/>
  <c r="AE464" i="3" s="1"/>
  <c r="F464" i="3"/>
  <c r="G464" i="3"/>
  <c r="I464" i="3" l="1"/>
  <c r="J464" i="3"/>
  <c r="AD464" i="3" s="1"/>
  <c r="M464" i="3"/>
  <c r="N464" i="3" s="1"/>
  <c r="V464" i="3"/>
  <c r="A465" i="3"/>
  <c r="B465" i="3" s="1"/>
  <c r="W464" i="3" l="1"/>
  <c r="L464" i="3"/>
  <c r="Z465" i="3"/>
  <c r="P465" i="3"/>
  <c r="Q465" i="3" s="1"/>
  <c r="R465" i="3" s="1"/>
  <c r="S465" i="3" s="1"/>
  <c r="AC465" i="3"/>
  <c r="AA465" i="3"/>
  <c r="AD465" i="3"/>
  <c r="T465" i="3" l="1"/>
  <c r="AH465" i="3" s="1"/>
  <c r="U464" i="3"/>
  <c r="Y463" i="3"/>
  <c r="D465" i="3" l="1"/>
  <c r="G465" i="3" s="1"/>
  <c r="E465" i="3"/>
  <c r="H465" i="3" s="1"/>
  <c r="AG465" i="3"/>
  <c r="F465" i="3" l="1"/>
  <c r="I465" i="3"/>
  <c r="J465" i="3"/>
  <c r="M465" i="3"/>
  <c r="N465" i="3" s="1"/>
  <c r="K465" i="3"/>
  <c r="AE465" i="3" s="1"/>
  <c r="V465" i="3" l="1"/>
  <c r="W465" i="3" s="1"/>
  <c r="A466" i="3"/>
  <c r="B466" i="3" s="1"/>
  <c r="L465" i="3"/>
  <c r="U465" i="3" l="1"/>
  <c r="Y464" i="3"/>
  <c r="AA466" i="3"/>
  <c r="AD466" i="3"/>
  <c r="AC466" i="3"/>
  <c r="Z466" i="3"/>
  <c r="P466" i="3"/>
  <c r="Q466" i="3" s="1"/>
  <c r="R466" i="3" s="1"/>
  <c r="S466" i="3" s="1"/>
  <c r="T466" i="3" l="1"/>
  <c r="AH466" i="3" s="1"/>
  <c r="AG466" i="3" l="1"/>
  <c r="E466" i="3"/>
  <c r="H466" i="3" s="1"/>
  <c r="K466" i="3" s="1"/>
  <c r="AE466" i="3" s="1"/>
  <c r="D466" i="3"/>
  <c r="G466" i="3" s="1"/>
  <c r="F466" i="3" l="1"/>
  <c r="I466" i="3"/>
  <c r="J466" i="3"/>
  <c r="M466" i="3"/>
  <c r="N466" i="3" s="1"/>
  <c r="V466" i="3"/>
  <c r="A467" i="3"/>
  <c r="B467" i="3" s="1"/>
  <c r="W466" i="3" l="1"/>
  <c r="L466" i="3"/>
  <c r="P467" i="3"/>
  <c r="Q467" i="3" s="1"/>
  <c r="R467" i="3" s="1"/>
  <c r="S467" i="3" s="1"/>
  <c r="AA467" i="3"/>
  <c r="Z467" i="3"/>
  <c r="AC467" i="3"/>
  <c r="AD467" i="3"/>
  <c r="U466" i="3" l="1"/>
  <c r="Y465" i="3"/>
  <c r="T467" i="3"/>
  <c r="E467" i="3" l="1"/>
  <c r="H467" i="3" s="1"/>
  <c r="K467" i="3" s="1"/>
  <c r="AE467" i="3" s="1"/>
  <c r="AG467" i="3"/>
  <c r="D467" i="3"/>
  <c r="AH467" i="3"/>
  <c r="F467" i="3" l="1"/>
  <c r="G467" i="3"/>
  <c r="V467" i="3"/>
  <c r="A468" i="3"/>
  <c r="B468" i="3" s="1"/>
  <c r="AC468" i="3" l="1"/>
  <c r="Z468" i="3"/>
  <c r="P468" i="3"/>
  <c r="Q468" i="3" s="1"/>
  <c r="R468" i="3" s="1"/>
  <c r="S468" i="3" s="1"/>
  <c r="AA468" i="3"/>
  <c r="AD468" i="3"/>
  <c r="I467" i="3"/>
  <c r="W467" i="3" s="1"/>
  <c r="J467" i="3"/>
  <c r="M467" i="3"/>
  <c r="N467" i="3" s="1"/>
  <c r="L467" i="3" l="1"/>
  <c r="T468" i="3"/>
  <c r="U467" i="3" l="1"/>
  <c r="D468" i="3" s="1"/>
  <c r="AH468" i="3"/>
  <c r="AG468" i="3"/>
  <c r="Y466" i="3"/>
  <c r="E468" i="3" l="1"/>
  <c r="H468" i="3" s="1"/>
  <c r="K468" i="3" s="1"/>
  <c r="AE468" i="3" s="1"/>
  <c r="G468" i="3"/>
  <c r="F468" i="3" l="1"/>
  <c r="I468" i="3"/>
  <c r="J468" i="3"/>
  <c r="M468" i="3"/>
  <c r="N468" i="3" s="1"/>
  <c r="V468" i="3"/>
  <c r="A469" i="3"/>
  <c r="B469" i="3" s="1"/>
  <c r="W468" i="3" l="1"/>
  <c r="L468" i="3"/>
  <c r="AD469" i="3"/>
  <c r="AA469" i="3"/>
  <c r="P469" i="3"/>
  <c r="Q469" i="3" s="1"/>
  <c r="R469" i="3" s="1"/>
  <c r="S469" i="3" s="1"/>
  <c r="Z469" i="3"/>
  <c r="AC469" i="3"/>
  <c r="U468" i="3" l="1"/>
  <c r="Y467" i="3"/>
  <c r="T469" i="3"/>
  <c r="AG469" i="3" s="1"/>
  <c r="D469" i="3" l="1"/>
  <c r="G469" i="3" s="1"/>
  <c r="AH469" i="3"/>
  <c r="E469" i="3"/>
  <c r="H469" i="3" s="1"/>
  <c r="K469" i="3" s="1"/>
  <c r="AE469" i="3" s="1"/>
  <c r="F469" i="3" l="1"/>
  <c r="I469" i="3"/>
  <c r="J469" i="3"/>
  <c r="M469" i="3"/>
  <c r="N469" i="3" s="1"/>
  <c r="V469" i="3"/>
  <c r="A470" i="3"/>
  <c r="B470" i="3" s="1"/>
  <c r="W469" i="3" l="1"/>
  <c r="L469" i="3"/>
  <c r="AC470" i="3"/>
  <c r="P470" i="3"/>
  <c r="Q470" i="3" s="1"/>
  <c r="R470" i="3" s="1"/>
  <c r="S470" i="3" s="1"/>
  <c r="AA470" i="3"/>
  <c r="Z470" i="3"/>
  <c r="AD470" i="3"/>
  <c r="U469" i="3" l="1"/>
  <c r="Y468" i="3"/>
  <c r="T470" i="3"/>
  <c r="D470" i="3" l="1"/>
  <c r="G470" i="3" s="1"/>
  <c r="AH470" i="3"/>
  <c r="AG470" i="3"/>
  <c r="E470" i="3"/>
  <c r="H470" i="3" s="1"/>
  <c r="K470" i="3" l="1"/>
  <c r="AE470" i="3" s="1"/>
  <c r="F470" i="3"/>
  <c r="I470" i="3"/>
  <c r="J470" i="3"/>
  <c r="M470" i="3"/>
  <c r="N470" i="3" s="1"/>
  <c r="V470" i="3" l="1"/>
  <c r="W470" i="3" s="1"/>
  <c r="A471" i="3"/>
  <c r="B471" i="3" s="1"/>
  <c r="L470" i="3"/>
  <c r="U470" i="3" l="1"/>
  <c r="Y469" i="3"/>
  <c r="Z471" i="3"/>
  <c r="AA471" i="3"/>
  <c r="AD471" i="3"/>
  <c r="AC471" i="3"/>
  <c r="P471" i="3"/>
  <c r="Q471" i="3" s="1"/>
  <c r="R471" i="3" s="1"/>
  <c r="S471" i="3" s="1"/>
  <c r="T471" i="3" l="1"/>
  <c r="AH471" i="3" s="1"/>
  <c r="AG471" i="3" l="1"/>
  <c r="E471" i="3"/>
  <c r="H471" i="3" s="1"/>
  <c r="D471" i="3"/>
  <c r="F471" i="3" l="1"/>
  <c r="G471" i="3"/>
  <c r="K471" i="3"/>
  <c r="AE471" i="3" s="1"/>
  <c r="V471" i="3" l="1"/>
  <c r="A472" i="3"/>
  <c r="B472" i="3" s="1"/>
  <c r="I471" i="3"/>
  <c r="J471" i="3"/>
  <c r="M471" i="3"/>
  <c r="N471" i="3" s="1"/>
  <c r="W471" i="3" l="1"/>
  <c r="L471" i="3"/>
  <c r="Z472" i="3"/>
  <c r="AA472" i="3"/>
  <c r="P472" i="3"/>
  <c r="Q472" i="3" s="1"/>
  <c r="R472" i="3" s="1"/>
  <c r="S472" i="3" s="1"/>
  <c r="AD472" i="3"/>
  <c r="AC472" i="3"/>
  <c r="U471" i="3" l="1"/>
  <c r="Y470" i="3"/>
  <c r="T472" i="3"/>
  <c r="E472" i="3" l="1"/>
  <c r="H472" i="3" s="1"/>
  <c r="K472" i="3" s="1"/>
  <c r="AE472" i="3" s="1"/>
  <c r="AG472" i="3"/>
  <c r="AH472" i="3"/>
  <c r="D472" i="3"/>
  <c r="V472" i="3" l="1"/>
  <c r="A473" i="3"/>
  <c r="B473" i="3" s="1"/>
  <c r="F472" i="3"/>
  <c r="G472" i="3"/>
  <c r="I472" i="3" l="1"/>
  <c r="W472" i="3" s="1"/>
  <c r="J472" i="3"/>
  <c r="M472" i="3"/>
  <c r="N472" i="3" s="1"/>
  <c r="AC473" i="3"/>
  <c r="P473" i="3"/>
  <c r="Q473" i="3" s="1"/>
  <c r="R473" i="3" s="1"/>
  <c r="S473" i="3" s="1"/>
  <c r="AD473" i="3"/>
  <c r="Z473" i="3"/>
  <c r="AA473" i="3"/>
  <c r="L472" i="3" l="1"/>
  <c r="T473" i="3"/>
  <c r="U472" i="3" l="1"/>
  <c r="D473" i="3" s="1"/>
  <c r="AH473" i="3"/>
  <c r="AG473" i="3"/>
  <c r="Y471" i="3"/>
  <c r="G473" i="3" l="1"/>
  <c r="E473" i="3"/>
  <c r="H473" i="3" s="1"/>
  <c r="F473" i="3" l="1"/>
  <c r="I473" i="3"/>
  <c r="J473" i="3"/>
  <c r="M473" i="3"/>
  <c r="N473" i="3" s="1"/>
  <c r="K473" i="3"/>
  <c r="AE473" i="3" s="1"/>
  <c r="V473" i="3" l="1"/>
  <c r="W473" i="3" s="1"/>
  <c r="A474" i="3"/>
  <c r="B474" i="3" s="1"/>
  <c r="L473" i="3"/>
  <c r="U473" i="3" l="1"/>
  <c r="Y472" i="3"/>
  <c r="P474" i="3"/>
  <c r="Q474" i="3" s="1"/>
  <c r="R474" i="3" s="1"/>
  <c r="S474" i="3" s="1"/>
  <c r="Z474" i="3"/>
  <c r="AA474" i="3"/>
  <c r="AC474" i="3"/>
  <c r="T474" i="3" l="1"/>
  <c r="D474" i="3" s="1"/>
  <c r="AG474" i="3" l="1"/>
  <c r="AH474" i="3"/>
  <c r="G474" i="3"/>
  <c r="E474" i="3"/>
  <c r="H474" i="3" s="1"/>
  <c r="I474" i="3" l="1"/>
  <c r="J474" i="3"/>
  <c r="AD474" i="3" s="1"/>
  <c r="M474" i="3"/>
  <c r="N474" i="3" s="1"/>
  <c r="F474" i="3"/>
  <c r="K474" i="3"/>
  <c r="AE474" i="3" s="1"/>
  <c r="V474" i="3" l="1"/>
  <c r="W474" i="3" s="1"/>
  <c r="A475" i="3"/>
  <c r="B475" i="3" s="1"/>
  <c r="L474" i="3"/>
  <c r="U474" i="3" l="1"/>
  <c r="Y473" i="3"/>
  <c r="AC475" i="3"/>
  <c r="Z475" i="3"/>
  <c r="P475" i="3"/>
  <c r="Q475" i="3" s="1"/>
  <c r="R475" i="3" s="1"/>
  <c r="S475" i="3" s="1"/>
  <c r="AD475" i="3"/>
  <c r="AA475" i="3"/>
  <c r="T475" i="3" l="1"/>
  <c r="AG475" i="3" s="1"/>
  <c r="AH475" i="3" l="1"/>
  <c r="E475" i="3"/>
  <c r="H475" i="3" s="1"/>
  <c r="K475" i="3" s="1"/>
  <c r="AE475" i="3" s="1"/>
  <c r="D475" i="3"/>
  <c r="F475" i="3" l="1"/>
  <c r="G475" i="3"/>
  <c r="M475" i="3" s="1"/>
  <c r="N475" i="3" s="1"/>
  <c r="V475" i="3"/>
  <c r="A476" i="3"/>
  <c r="B476" i="3" s="1"/>
  <c r="I475" i="3" l="1"/>
  <c r="W475" i="3" s="1"/>
  <c r="J475" i="3"/>
  <c r="L475" i="3" s="1"/>
  <c r="P476" i="3"/>
  <c r="Q476" i="3" s="1"/>
  <c r="R476" i="3" s="1"/>
  <c r="S476" i="3" s="1"/>
  <c r="AA476" i="3"/>
  <c r="AD476" i="3"/>
  <c r="Z476" i="3"/>
  <c r="AC476" i="3"/>
  <c r="U475" i="3" l="1"/>
  <c r="Y474" i="3"/>
  <c r="T476" i="3"/>
  <c r="AG476" i="3" s="1"/>
  <c r="D476" i="3" l="1"/>
  <c r="G476" i="3" s="1"/>
  <c r="E476" i="3"/>
  <c r="H476" i="3" s="1"/>
  <c r="K476" i="3" s="1"/>
  <c r="AE476" i="3" s="1"/>
  <c r="AH476" i="3"/>
  <c r="F476" i="3" l="1"/>
  <c r="V476" i="3"/>
  <c r="A477" i="3"/>
  <c r="B477" i="3" s="1"/>
  <c r="I476" i="3"/>
  <c r="J476" i="3"/>
  <c r="M476" i="3"/>
  <c r="N476" i="3" s="1"/>
  <c r="W476" i="3" l="1"/>
  <c r="L476" i="3"/>
  <c r="AA477" i="3"/>
  <c r="P477" i="3"/>
  <c r="Q477" i="3" s="1"/>
  <c r="R477" i="3" s="1"/>
  <c r="S477" i="3" s="1"/>
  <c r="AD477" i="3"/>
  <c r="AC477" i="3"/>
  <c r="Z477" i="3"/>
  <c r="U476" i="3" l="1"/>
  <c r="Y475" i="3"/>
  <c r="T477" i="3"/>
  <c r="D477" i="3" l="1"/>
  <c r="G477" i="3" s="1"/>
  <c r="AG477" i="3"/>
  <c r="E477" i="3"/>
  <c r="H477" i="3" s="1"/>
  <c r="K477" i="3" s="1"/>
  <c r="AE477" i="3" s="1"/>
  <c r="AH477" i="3"/>
  <c r="F477" i="3" l="1"/>
  <c r="V477" i="3"/>
  <c r="A478" i="3"/>
  <c r="B478" i="3" s="1"/>
  <c r="I477" i="3"/>
  <c r="J477" i="3"/>
  <c r="M477" i="3"/>
  <c r="N477" i="3" s="1"/>
  <c r="W477" i="3" l="1"/>
  <c r="L477" i="3"/>
  <c r="AA478" i="3"/>
  <c r="AD478" i="3"/>
  <c r="P478" i="3"/>
  <c r="Q478" i="3" s="1"/>
  <c r="R478" i="3" s="1"/>
  <c r="S478" i="3" s="1"/>
  <c r="AC478" i="3"/>
  <c r="Z478" i="3"/>
  <c r="T478" i="3" l="1"/>
  <c r="U477" i="3"/>
  <c r="Y476" i="3"/>
  <c r="E478" i="3" l="1"/>
  <c r="H478" i="3" s="1"/>
  <c r="K478" i="3" s="1"/>
  <c r="AE478" i="3" s="1"/>
  <c r="AG478" i="3"/>
  <c r="AH478" i="3"/>
  <c r="D478" i="3"/>
  <c r="F478" i="3" l="1"/>
  <c r="G478" i="3"/>
  <c r="V478" i="3"/>
  <c r="A479" i="3"/>
  <c r="B479" i="3" s="1"/>
  <c r="I478" i="3" l="1"/>
  <c r="W478" i="3" s="1"/>
  <c r="J478" i="3"/>
  <c r="M478" i="3"/>
  <c r="N478" i="3" s="1"/>
  <c r="P479" i="3"/>
  <c r="Q479" i="3" s="1"/>
  <c r="R479" i="3" s="1"/>
  <c r="S479" i="3" s="1"/>
  <c r="AD479" i="3"/>
  <c r="AC479" i="3"/>
  <c r="AA479" i="3"/>
  <c r="Z479" i="3"/>
  <c r="T479" i="3" l="1"/>
  <c r="L478" i="3"/>
  <c r="U478" i="3" l="1"/>
  <c r="E479" i="3" s="1"/>
  <c r="H479" i="3" s="1"/>
  <c r="AH479" i="3"/>
  <c r="AG479" i="3"/>
  <c r="Y477" i="3"/>
  <c r="D479" i="3" l="1"/>
  <c r="G479" i="3" s="1"/>
  <c r="K479" i="3"/>
  <c r="AE479" i="3" s="1"/>
  <c r="F479" i="3" l="1"/>
  <c r="I479" i="3"/>
  <c r="J479" i="3"/>
  <c r="M479" i="3"/>
  <c r="N479" i="3" s="1"/>
  <c r="V479" i="3"/>
  <c r="A480" i="3"/>
  <c r="B480" i="3" s="1"/>
  <c r="W479" i="3" l="1"/>
  <c r="AA480" i="3"/>
  <c r="P480" i="3"/>
  <c r="Q480" i="3" s="1"/>
  <c r="R480" i="3" s="1"/>
  <c r="S480" i="3" s="1"/>
  <c r="AD480" i="3"/>
  <c r="AC480" i="3"/>
  <c r="Z480" i="3"/>
  <c r="L479" i="3"/>
  <c r="U479" i="3" l="1"/>
  <c r="Y478" i="3"/>
  <c r="T480" i="3"/>
  <c r="E480" i="3" l="1"/>
  <c r="H480" i="3" s="1"/>
  <c r="K480" i="3" s="1"/>
  <c r="AE480" i="3" s="1"/>
  <c r="AH480" i="3"/>
  <c r="AG480" i="3"/>
  <c r="D480" i="3"/>
  <c r="V480" i="3" l="1"/>
  <c r="A481" i="3"/>
  <c r="B481" i="3" s="1"/>
  <c r="F480" i="3"/>
  <c r="G480" i="3"/>
  <c r="I480" i="3" l="1"/>
  <c r="W480" i="3" s="1"/>
  <c r="J480" i="3"/>
  <c r="M480" i="3"/>
  <c r="N480" i="3" s="1"/>
  <c r="P481" i="3"/>
  <c r="Q481" i="3" s="1"/>
  <c r="R481" i="3" s="1"/>
  <c r="S481" i="3" s="1"/>
  <c r="AC481" i="3"/>
  <c r="AA481" i="3"/>
  <c r="AD481" i="3"/>
  <c r="Z481" i="3"/>
  <c r="T481" i="3" l="1"/>
  <c r="L480" i="3"/>
  <c r="U480" i="3" l="1"/>
  <c r="D481" i="3" s="1"/>
  <c r="AG481" i="3"/>
  <c r="AH481" i="3"/>
  <c r="Y479" i="3"/>
  <c r="G481" i="3" l="1"/>
  <c r="E481" i="3"/>
  <c r="H481" i="3" s="1"/>
  <c r="K481" i="3" l="1"/>
  <c r="AE481" i="3" s="1"/>
  <c r="I481" i="3"/>
  <c r="J481" i="3"/>
  <c r="M481" i="3"/>
  <c r="N481" i="3" s="1"/>
  <c r="F481" i="3"/>
  <c r="V481" i="3" l="1"/>
  <c r="W481" i="3" s="1"/>
  <c r="A482" i="3"/>
  <c r="B482" i="3" s="1"/>
  <c r="L481" i="3"/>
  <c r="U481" i="3" l="1"/>
  <c r="Y480" i="3"/>
  <c r="AC482" i="3"/>
  <c r="AA482" i="3"/>
  <c r="P482" i="3"/>
  <c r="Q482" i="3" s="1"/>
  <c r="R482" i="3" s="1"/>
  <c r="S482" i="3" s="1"/>
  <c r="AD482" i="3"/>
  <c r="Z482" i="3"/>
  <c r="T482" i="3" l="1"/>
  <c r="D482" i="3" s="1"/>
  <c r="AG482" i="3" l="1"/>
  <c r="G482" i="3"/>
  <c r="AH482" i="3"/>
  <c r="E482" i="3"/>
  <c r="H482" i="3" s="1"/>
  <c r="F482" i="3" l="1"/>
  <c r="I482" i="3"/>
  <c r="J482" i="3"/>
  <c r="M482" i="3"/>
  <c r="N482" i="3" s="1"/>
  <c r="K482" i="3"/>
  <c r="AE482" i="3" s="1"/>
  <c r="V482" i="3" l="1"/>
  <c r="W482" i="3" s="1"/>
  <c r="A483" i="3"/>
  <c r="B483" i="3" s="1"/>
  <c r="L482" i="3"/>
  <c r="U482" i="3" l="1"/>
  <c r="Y481" i="3"/>
  <c r="P483" i="3"/>
  <c r="Q483" i="3" s="1"/>
  <c r="R483" i="3" s="1"/>
  <c r="S483" i="3" s="1"/>
  <c r="Z483" i="3"/>
  <c r="AC483" i="3"/>
  <c r="AD483" i="3"/>
  <c r="AA483" i="3"/>
  <c r="T483" i="3" l="1"/>
  <c r="E483" i="3" s="1"/>
  <c r="H483" i="3" s="1"/>
  <c r="AG483" i="3" l="1"/>
  <c r="AH483" i="3"/>
  <c r="D483" i="3"/>
  <c r="G483" i="3" s="1"/>
  <c r="K483" i="3"/>
  <c r="AE483" i="3" s="1"/>
  <c r="F483" i="3" l="1"/>
  <c r="I483" i="3"/>
  <c r="J483" i="3"/>
  <c r="M483" i="3"/>
  <c r="N483" i="3" s="1"/>
  <c r="V483" i="3"/>
  <c r="A484" i="3"/>
  <c r="B484" i="3" s="1"/>
  <c r="W483" i="3" l="1"/>
  <c r="L483" i="3"/>
  <c r="AC484" i="3"/>
  <c r="Z484" i="3"/>
  <c r="AA484" i="3"/>
  <c r="P484" i="3"/>
  <c r="Q484" i="3" s="1"/>
  <c r="R484" i="3" s="1"/>
  <c r="S484" i="3" s="1"/>
  <c r="T484" i="3" l="1"/>
  <c r="U483" i="3"/>
  <c r="Y482" i="3"/>
  <c r="E484" i="3" l="1"/>
  <c r="H484" i="3" s="1"/>
  <c r="K484" i="3" s="1"/>
  <c r="AE484" i="3" s="1"/>
  <c r="D484" i="3"/>
  <c r="G484" i="3" s="1"/>
  <c r="AG484" i="3"/>
  <c r="AH484" i="3"/>
  <c r="F484" i="3" l="1"/>
  <c r="V484" i="3"/>
  <c r="A485" i="3"/>
  <c r="B485" i="3" s="1"/>
  <c r="I484" i="3"/>
  <c r="J484" i="3"/>
  <c r="AD484" i="3" s="1"/>
  <c r="M484" i="3"/>
  <c r="N484" i="3" s="1"/>
  <c r="W484" i="3" l="1"/>
  <c r="L484" i="3"/>
  <c r="P485" i="3"/>
  <c r="Q485" i="3" s="1"/>
  <c r="R485" i="3" s="1"/>
  <c r="S485" i="3" s="1"/>
  <c r="AD485" i="3"/>
  <c r="AA485" i="3"/>
  <c r="AC485" i="3"/>
  <c r="Z485" i="3"/>
  <c r="U484" i="3" l="1"/>
  <c r="Y483" i="3"/>
  <c r="T485" i="3"/>
  <c r="D485" i="3" l="1"/>
  <c r="G485" i="3" s="1"/>
  <c r="AG485" i="3"/>
  <c r="AH485" i="3"/>
  <c r="E485" i="3"/>
  <c r="H485" i="3" s="1"/>
  <c r="K485" i="3" s="1"/>
  <c r="AE485" i="3" s="1"/>
  <c r="F485" i="3" l="1"/>
  <c r="I485" i="3"/>
  <c r="J485" i="3"/>
  <c r="M485" i="3"/>
  <c r="N485" i="3" s="1"/>
  <c r="V485" i="3"/>
  <c r="A486" i="3"/>
  <c r="B486" i="3" s="1"/>
  <c r="W485" i="3" l="1"/>
  <c r="L485" i="3"/>
  <c r="AA486" i="3"/>
  <c r="P486" i="3"/>
  <c r="Q486" i="3" s="1"/>
  <c r="R486" i="3" s="1"/>
  <c r="S486" i="3" s="1"/>
  <c r="AC486" i="3"/>
  <c r="AD486" i="3"/>
  <c r="Z486" i="3"/>
  <c r="T486" i="3" l="1"/>
  <c r="AH486" i="3" s="1"/>
  <c r="U485" i="3"/>
  <c r="Y484" i="3"/>
  <c r="D486" i="3" l="1"/>
  <c r="G486" i="3" s="1"/>
  <c r="AG486" i="3"/>
  <c r="E486" i="3"/>
  <c r="H486" i="3" s="1"/>
  <c r="K486" i="3" s="1"/>
  <c r="AE486" i="3" s="1"/>
  <c r="F486" i="3" l="1"/>
  <c r="V486" i="3"/>
  <c r="A487" i="3"/>
  <c r="B487" i="3" s="1"/>
  <c r="I486" i="3"/>
  <c r="J486" i="3"/>
  <c r="M486" i="3"/>
  <c r="N486" i="3" s="1"/>
  <c r="W486" i="3" l="1"/>
  <c r="L486" i="3"/>
  <c r="AA487" i="3"/>
  <c r="AD487" i="3"/>
  <c r="P487" i="3"/>
  <c r="Q487" i="3" s="1"/>
  <c r="R487" i="3" s="1"/>
  <c r="S487" i="3" s="1"/>
  <c r="AC487" i="3"/>
  <c r="Z487" i="3"/>
  <c r="T487" i="3" l="1"/>
  <c r="U486" i="3"/>
  <c r="Y485" i="3"/>
  <c r="E487" i="3" l="1"/>
  <c r="H487" i="3" s="1"/>
  <c r="K487" i="3" s="1"/>
  <c r="AE487" i="3" s="1"/>
  <c r="D487" i="3"/>
  <c r="AH487" i="3"/>
  <c r="AG487" i="3"/>
  <c r="V487" i="3" l="1"/>
  <c r="A488" i="3"/>
  <c r="B488" i="3" s="1"/>
  <c r="F487" i="3"/>
  <c r="G487" i="3"/>
  <c r="I487" i="3" l="1"/>
  <c r="W487" i="3" s="1"/>
  <c r="J487" i="3"/>
  <c r="M487" i="3"/>
  <c r="N487" i="3" s="1"/>
  <c r="AA488" i="3"/>
  <c r="AD488" i="3"/>
  <c r="Z488" i="3"/>
  <c r="P488" i="3"/>
  <c r="Q488" i="3" s="1"/>
  <c r="R488" i="3" s="1"/>
  <c r="S488" i="3" s="1"/>
  <c r="AC488" i="3"/>
  <c r="L487" i="3" l="1"/>
  <c r="T488" i="3"/>
  <c r="U487" i="3" l="1"/>
  <c r="D488" i="3" s="1"/>
  <c r="AG488" i="3"/>
  <c r="AH488" i="3"/>
  <c r="Y486" i="3"/>
  <c r="E488" i="3" l="1"/>
  <c r="H488" i="3" s="1"/>
  <c r="K488" i="3" s="1"/>
  <c r="AE488" i="3" s="1"/>
  <c r="G488" i="3"/>
  <c r="F488" i="3" l="1"/>
  <c r="I488" i="3"/>
  <c r="J488" i="3"/>
  <c r="M488" i="3"/>
  <c r="N488" i="3" s="1"/>
  <c r="V488" i="3"/>
  <c r="A489" i="3"/>
  <c r="B489" i="3" s="1"/>
  <c r="W488" i="3" l="1"/>
  <c r="L488" i="3"/>
  <c r="P489" i="3"/>
  <c r="Q489" i="3" s="1"/>
  <c r="R489" i="3" s="1"/>
  <c r="S489" i="3" s="1"/>
  <c r="AC489" i="3"/>
  <c r="AA489" i="3"/>
  <c r="AD489" i="3"/>
  <c r="Z489" i="3"/>
  <c r="U488" i="3" l="1"/>
  <c r="Y487" i="3"/>
  <c r="T489" i="3"/>
  <c r="AH489" i="3" s="1"/>
  <c r="AG489" i="3" l="1"/>
  <c r="D489" i="3"/>
  <c r="E489" i="3"/>
  <c r="H489" i="3" s="1"/>
  <c r="K489" i="3" s="1"/>
  <c r="AE489" i="3" s="1"/>
  <c r="F489" i="3" l="1"/>
  <c r="G489" i="3"/>
  <c r="M489" i="3" s="1"/>
  <c r="N489" i="3" s="1"/>
  <c r="V489" i="3"/>
  <c r="A490" i="3"/>
  <c r="B490" i="3" s="1"/>
  <c r="I489" i="3" l="1"/>
  <c r="W489" i="3" s="1"/>
  <c r="J489" i="3"/>
  <c r="L489" i="3" s="1"/>
  <c r="Z490" i="3"/>
  <c r="AC490" i="3"/>
  <c r="P490" i="3"/>
  <c r="Q490" i="3" s="1"/>
  <c r="R490" i="3" s="1"/>
  <c r="S490" i="3" s="1"/>
  <c r="AD490" i="3"/>
  <c r="AA490" i="3"/>
  <c r="T490" i="3" l="1"/>
  <c r="AH490" i="3" s="1"/>
  <c r="U489" i="3"/>
  <c r="Y488" i="3"/>
  <c r="E490" i="3" l="1"/>
  <c r="H490" i="3" s="1"/>
  <c r="K490" i="3" s="1"/>
  <c r="AE490" i="3" s="1"/>
  <c r="D490" i="3"/>
  <c r="AG490" i="3"/>
  <c r="V490" i="3" l="1"/>
  <c r="A491" i="3"/>
  <c r="B491" i="3" s="1"/>
  <c r="F490" i="3"/>
  <c r="G490" i="3"/>
  <c r="I490" i="3" l="1"/>
  <c r="W490" i="3" s="1"/>
  <c r="J490" i="3"/>
  <c r="M490" i="3"/>
  <c r="N490" i="3" s="1"/>
  <c r="P491" i="3"/>
  <c r="Q491" i="3" s="1"/>
  <c r="R491" i="3" s="1"/>
  <c r="S491" i="3" s="1"/>
  <c r="Z491" i="3"/>
  <c r="AD491" i="3"/>
  <c r="AC491" i="3"/>
  <c r="AA491" i="3"/>
  <c r="T491" i="3" l="1"/>
  <c r="L490" i="3"/>
  <c r="AH491" i="3" l="1"/>
  <c r="U490" i="3"/>
  <c r="D491" i="3" s="1"/>
  <c r="AG491" i="3"/>
  <c r="Y489" i="3"/>
  <c r="E491" i="3" l="1"/>
  <c r="H491" i="3" s="1"/>
  <c r="K491" i="3" s="1"/>
  <c r="AE491" i="3" s="1"/>
  <c r="G491" i="3"/>
  <c r="F491" i="3" l="1"/>
  <c r="I491" i="3"/>
  <c r="J491" i="3"/>
  <c r="M491" i="3"/>
  <c r="N491" i="3" s="1"/>
  <c r="V491" i="3"/>
  <c r="A492" i="3"/>
  <c r="B492" i="3" s="1"/>
  <c r="W491" i="3" l="1"/>
  <c r="L491" i="3"/>
  <c r="AC492" i="3"/>
  <c r="AA492" i="3"/>
  <c r="P492" i="3"/>
  <c r="Q492" i="3" s="1"/>
  <c r="R492" i="3" s="1"/>
  <c r="S492" i="3" s="1"/>
  <c r="Z492" i="3"/>
  <c r="AD492" i="3"/>
  <c r="T492" i="3" l="1"/>
  <c r="U491" i="3"/>
  <c r="Y490" i="3"/>
  <c r="D492" i="3" l="1"/>
  <c r="G492" i="3" s="1"/>
  <c r="AH492" i="3"/>
  <c r="AG492" i="3"/>
  <c r="E492" i="3"/>
  <c r="H492" i="3" s="1"/>
  <c r="F492" i="3" l="1"/>
  <c r="I492" i="3"/>
  <c r="J492" i="3"/>
  <c r="M492" i="3"/>
  <c r="N492" i="3" s="1"/>
  <c r="K492" i="3"/>
  <c r="AE492" i="3" s="1"/>
  <c r="L492" i="3" l="1"/>
  <c r="V492" i="3"/>
  <c r="W492" i="3" s="1"/>
  <c r="A493" i="3"/>
  <c r="B493" i="3" s="1"/>
  <c r="U492" i="3" l="1"/>
  <c r="Y491" i="3"/>
  <c r="P493" i="3"/>
  <c r="Q493" i="3" s="1"/>
  <c r="R493" i="3" s="1"/>
  <c r="S493" i="3" s="1"/>
  <c r="AC493" i="3"/>
  <c r="AA493" i="3"/>
  <c r="Z493" i="3"/>
  <c r="AD493" i="3"/>
  <c r="T493" i="3" l="1"/>
  <c r="AH493" i="3" s="1"/>
  <c r="AG493" i="3" l="1"/>
  <c r="E493" i="3"/>
  <c r="H493" i="3" s="1"/>
  <c r="K493" i="3" s="1"/>
  <c r="AE493" i="3" s="1"/>
  <c r="D493" i="3"/>
  <c r="F493" i="3" l="1"/>
  <c r="G493" i="3"/>
  <c r="J493" i="3" s="1"/>
  <c r="V493" i="3"/>
  <c r="A494" i="3"/>
  <c r="B494" i="3" s="1"/>
  <c r="M493" i="3" l="1"/>
  <c r="N493" i="3" s="1"/>
  <c r="I493" i="3"/>
  <c r="W493" i="3" s="1"/>
  <c r="L493" i="3"/>
  <c r="P494" i="3"/>
  <c r="Q494" i="3" s="1"/>
  <c r="R494" i="3" s="1"/>
  <c r="S494" i="3" s="1"/>
  <c r="AC494" i="3"/>
  <c r="Z494" i="3"/>
  <c r="AA494" i="3"/>
  <c r="T494" i="3" l="1"/>
  <c r="AH494" i="3" s="1"/>
  <c r="U493" i="3"/>
  <c r="Y492" i="3"/>
  <c r="E494" i="3" l="1"/>
  <c r="H494" i="3" s="1"/>
  <c r="K494" i="3" s="1"/>
  <c r="AE494" i="3" s="1"/>
  <c r="D494" i="3"/>
  <c r="AG494" i="3"/>
  <c r="F494" i="3" l="1"/>
  <c r="G494" i="3"/>
  <c r="V494" i="3"/>
  <c r="A495" i="3"/>
  <c r="B495" i="3" s="1"/>
  <c r="Z495" i="3" l="1"/>
  <c r="P495" i="3"/>
  <c r="Q495" i="3" s="1"/>
  <c r="R495" i="3" s="1"/>
  <c r="S495" i="3" s="1"/>
  <c r="AA495" i="3"/>
  <c r="AD495" i="3"/>
  <c r="AC495" i="3"/>
  <c r="I494" i="3"/>
  <c r="W494" i="3" s="1"/>
  <c r="J494" i="3"/>
  <c r="AD494" i="3" s="1"/>
  <c r="M494" i="3"/>
  <c r="N494" i="3" s="1"/>
  <c r="L494" i="3" l="1"/>
  <c r="T495" i="3"/>
  <c r="AG495" i="3" l="1"/>
  <c r="U494" i="3"/>
  <c r="D495" i="3" s="1"/>
  <c r="AH495" i="3"/>
  <c r="Y493" i="3"/>
  <c r="E495" i="3" l="1"/>
  <c r="H495" i="3" s="1"/>
  <c r="K495" i="3" s="1"/>
  <c r="AE495" i="3" s="1"/>
  <c r="G495" i="3"/>
  <c r="F495" i="3" l="1"/>
  <c r="V495" i="3"/>
  <c r="A496" i="3"/>
  <c r="B496" i="3" s="1"/>
  <c r="I495" i="3"/>
  <c r="J495" i="3"/>
  <c r="M495" i="3"/>
  <c r="N495" i="3" s="1"/>
  <c r="W495" i="3" l="1"/>
  <c r="L495" i="3"/>
  <c r="AD496" i="3"/>
  <c r="AA496" i="3"/>
  <c r="P496" i="3"/>
  <c r="Q496" i="3" s="1"/>
  <c r="R496" i="3" s="1"/>
  <c r="S496" i="3" s="1"/>
  <c r="Z496" i="3"/>
  <c r="AC496" i="3"/>
  <c r="U495" i="3" l="1"/>
  <c r="Y494" i="3"/>
  <c r="T496" i="3"/>
  <c r="AH496" i="3" s="1"/>
  <c r="D496" i="3" l="1"/>
  <c r="G496" i="3" s="1"/>
  <c r="AG496" i="3"/>
  <c r="E496" i="3"/>
  <c r="H496" i="3" s="1"/>
  <c r="K496" i="3" s="1"/>
  <c r="AE496" i="3" s="1"/>
  <c r="F496" i="3" l="1"/>
  <c r="V496" i="3"/>
  <c r="A497" i="3"/>
  <c r="B497" i="3" s="1"/>
  <c r="I496" i="3"/>
  <c r="J496" i="3"/>
  <c r="M496" i="3"/>
  <c r="N496" i="3" s="1"/>
  <c r="W496" i="3" l="1"/>
  <c r="L496" i="3"/>
  <c r="P497" i="3"/>
  <c r="Q497" i="3" s="1"/>
  <c r="R497" i="3" s="1"/>
  <c r="S497" i="3" s="1"/>
  <c r="AC497" i="3"/>
  <c r="AA497" i="3"/>
  <c r="AD497" i="3"/>
  <c r="Z497" i="3"/>
  <c r="U496" i="3" l="1"/>
  <c r="Y495" i="3"/>
  <c r="T497" i="3"/>
  <c r="AG497" i="3" s="1"/>
  <c r="E497" i="3" l="1"/>
  <c r="H497" i="3" s="1"/>
  <c r="D497" i="3"/>
  <c r="AH497" i="3"/>
  <c r="F497" i="3" l="1"/>
  <c r="G497" i="3"/>
  <c r="K497" i="3"/>
  <c r="AE497" i="3" s="1"/>
  <c r="I497" i="3" l="1"/>
  <c r="J497" i="3"/>
  <c r="M497" i="3"/>
  <c r="N497" i="3" s="1"/>
  <c r="V497" i="3"/>
  <c r="A498" i="3"/>
  <c r="B498" i="3" s="1"/>
  <c r="W497" i="3" l="1"/>
  <c r="L497" i="3"/>
  <c r="Z498" i="3"/>
  <c r="AC498" i="3"/>
  <c r="AD498" i="3"/>
  <c r="AA498" i="3"/>
  <c r="P498" i="3"/>
  <c r="Q498" i="3" s="1"/>
  <c r="R498" i="3" s="1"/>
  <c r="S498" i="3" s="1"/>
  <c r="U497" i="3" l="1"/>
  <c r="Y496" i="3"/>
  <c r="T498" i="3"/>
  <c r="AH498" i="3" s="1"/>
  <c r="AG498" i="3" l="1"/>
  <c r="D498" i="3"/>
  <c r="E498" i="3"/>
  <c r="H498" i="3" s="1"/>
  <c r="F498" i="3" l="1"/>
  <c r="G498" i="3"/>
  <c r="K498" i="3"/>
  <c r="AE498" i="3" s="1"/>
  <c r="I498" i="3" l="1"/>
  <c r="J498" i="3"/>
  <c r="M498" i="3"/>
  <c r="N498" i="3" s="1"/>
  <c r="V498" i="3"/>
  <c r="A499" i="3"/>
  <c r="B499" i="3" s="1"/>
  <c r="W498" i="3" l="1"/>
  <c r="L498" i="3"/>
  <c r="AC499" i="3"/>
  <c r="P499" i="3"/>
  <c r="Q499" i="3" s="1"/>
  <c r="R499" i="3" s="1"/>
  <c r="S499" i="3" s="1"/>
  <c r="AD499" i="3"/>
  <c r="AA499" i="3"/>
  <c r="Z499" i="3"/>
  <c r="T499" i="3" l="1"/>
  <c r="U498" i="3"/>
  <c r="Y497" i="3"/>
  <c r="D499" i="3" l="1"/>
  <c r="G499" i="3" s="1"/>
  <c r="AH499" i="3"/>
  <c r="E499" i="3"/>
  <c r="H499" i="3" s="1"/>
  <c r="AG499" i="3"/>
  <c r="F499" i="3" l="1"/>
  <c r="I499" i="3"/>
  <c r="J499" i="3"/>
  <c r="M499" i="3"/>
  <c r="N499" i="3" s="1"/>
  <c r="K499" i="3"/>
  <c r="AE499" i="3" s="1"/>
  <c r="V499" i="3" l="1"/>
  <c r="W499" i="3" s="1"/>
  <c r="A500" i="3"/>
  <c r="B500" i="3" s="1"/>
  <c r="L499" i="3"/>
  <c r="U499" i="3" l="1"/>
  <c r="Y498" i="3"/>
  <c r="AD500" i="3"/>
  <c r="AA500" i="3"/>
  <c r="AC500" i="3"/>
  <c r="P500" i="3"/>
  <c r="Q500" i="3" s="1"/>
  <c r="R500" i="3" s="1"/>
  <c r="S500" i="3" s="1"/>
  <c r="Z500" i="3"/>
  <c r="T500" i="3" l="1"/>
  <c r="AH500" i="3" s="1"/>
  <c r="D500" i="3" l="1"/>
  <c r="AG500" i="3"/>
  <c r="E500" i="3"/>
  <c r="H500" i="3" s="1"/>
  <c r="F500" i="3" l="1"/>
  <c r="G500" i="3"/>
  <c r="K500" i="3"/>
  <c r="AE500" i="3" s="1"/>
  <c r="I500" i="3" l="1"/>
  <c r="J500" i="3"/>
  <c r="M500" i="3"/>
  <c r="N500" i="3" s="1"/>
  <c r="V500" i="3"/>
  <c r="A501" i="3"/>
  <c r="B501" i="3" s="1"/>
  <c r="W500" i="3" l="1"/>
  <c r="L500" i="3"/>
  <c r="P501" i="3"/>
  <c r="Q501" i="3" s="1"/>
  <c r="R501" i="3" s="1"/>
  <c r="S501" i="3" s="1"/>
  <c r="AC501" i="3"/>
  <c r="AD501" i="3"/>
  <c r="Z501" i="3"/>
  <c r="AA501" i="3"/>
  <c r="U500" i="3" l="1"/>
  <c r="Y499" i="3"/>
  <c r="T501" i="3"/>
  <c r="D501" i="3" l="1"/>
  <c r="G501" i="3" s="1"/>
  <c r="E501" i="3"/>
  <c r="H501" i="3" s="1"/>
  <c r="K501" i="3" s="1"/>
  <c r="AE501" i="3" s="1"/>
  <c r="AG501" i="3"/>
  <c r="AH501" i="3"/>
  <c r="F501" i="3" l="1"/>
  <c r="I501" i="3"/>
  <c r="J501" i="3"/>
  <c r="M501" i="3"/>
  <c r="N501" i="3" s="1"/>
  <c r="V501" i="3"/>
  <c r="A502" i="3"/>
  <c r="B502" i="3" s="1"/>
  <c r="L501" i="3" l="1"/>
  <c r="W501" i="3"/>
  <c r="Z502" i="3"/>
  <c r="AA502" i="3"/>
  <c r="AC502" i="3"/>
  <c r="AD502" i="3"/>
  <c r="P502" i="3"/>
  <c r="Q502" i="3" s="1"/>
  <c r="R502" i="3" s="1"/>
  <c r="S502" i="3" s="1"/>
  <c r="U501" i="3" l="1"/>
  <c r="Y500" i="3"/>
  <c r="T502" i="3"/>
  <c r="E502" i="3" l="1"/>
  <c r="H502" i="3" s="1"/>
  <c r="K502" i="3" s="1"/>
  <c r="AE502" i="3" s="1"/>
  <c r="AG502" i="3"/>
  <c r="D502" i="3"/>
  <c r="AH502" i="3"/>
  <c r="F502" i="3" l="1"/>
  <c r="G502" i="3"/>
  <c r="V502" i="3"/>
  <c r="A503" i="3"/>
  <c r="B503" i="3" s="1"/>
  <c r="I502" i="3" l="1"/>
  <c r="W502" i="3" s="1"/>
  <c r="J502" i="3"/>
  <c r="M502" i="3"/>
  <c r="N502" i="3" s="1"/>
  <c r="AA503" i="3"/>
  <c r="P503" i="3"/>
  <c r="Q503" i="3" s="1"/>
  <c r="R503" i="3" s="1"/>
  <c r="S503" i="3" s="1"/>
  <c r="AD503" i="3"/>
  <c r="AC503" i="3"/>
  <c r="Z503" i="3"/>
  <c r="T503" i="3" l="1"/>
  <c r="L502" i="3"/>
  <c r="AG503" i="3" l="1"/>
  <c r="AH503" i="3"/>
  <c r="U502" i="3"/>
  <c r="E503" i="3" s="1"/>
  <c r="H503" i="3" s="1"/>
  <c r="Y501" i="3"/>
  <c r="D503" i="3" l="1"/>
  <c r="G503" i="3" s="1"/>
  <c r="K503" i="3"/>
  <c r="AE503" i="3" s="1"/>
  <c r="F503" i="3" l="1"/>
  <c r="V503" i="3"/>
  <c r="A504" i="3"/>
  <c r="B504" i="3" s="1"/>
  <c r="I503" i="3"/>
  <c r="J503" i="3"/>
  <c r="M503" i="3"/>
  <c r="N503" i="3" s="1"/>
  <c r="W503" i="3" l="1"/>
  <c r="L503" i="3"/>
  <c r="P504" i="3"/>
  <c r="Q504" i="3" s="1"/>
  <c r="R504" i="3" s="1"/>
  <c r="S504" i="3" s="1"/>
  <c r="Z504" i="3"/>
  <c r="AA504" i="3"/>
  <c r="AC504" i="3"/>
  <c r="U503" i="3" l="1"/>
  <c r="Y502" i="3"/>
  <c r="T504" i="3"/>
  <c r="AG504" i="3" s="1"/>
  <c r="E504" i="3" l="1"/>
  <c r="H504" i="3" s="1"/>
  <c r="K504" i="3" s="1"/>
  <c r="AE504" i="3" s="1"/>
  <c r="D504" i="3"/>
  <c r="AH504" i="3"/>
  <c r="F504" i="3" l="1"/>
  <c r="G504" i="3"/>
  <c r="I504" i="3" s="1"/>
  <c r="V504" i="3"/>
  <c r="A505" i="3"/>
  <c r="B505" i="3" s="1"/>
  <c r="J504" i="3" l="1"/>
  <c r="W504" i="3"/>
  <c r="M504" i="3"/>
  <c r="N504" i="3" s="1"/>
  <c r="P505" i="3"/>
  <c r="Q505" i="3" s="1"/>
  <c r="R505" i="3" s="1"/>
  <c r="S505" i="3" s="1"/>
  <c r="AC505" i="3"/>
  <c r="Z505" i="3"/>
  <c r="AD505" i="3"/>
  <c r="AA505" i="3"/>
  <c r="L504" i="3" l="1"/>
  <c r="Y503" i="3" s="1"/>
  <c r="AD504" i="3"/>
  <c r="T505" i="3"/>
  <c r="AH505" i="3" l="1"/>
  <c r="U504" i="3"/>
  <c r="D505" i="3" s="1"/>
  <c r="G505" i="3" s="1"/>
  <c r="AG505" i="3"/>
  <c r="E505" i="3" l="1"/>
  <c r="H505" i="3" s="1"/>
  <c r="K505" i="3" s="1"/>
  <c r="AE505" i="3" s="1"/>
  <c r="J505" i="3"/>
  <c r="I505" i="3" l="1"/>
  <c r="F505" i="3"/>
  <c r="V505" i="3"/>
  <c r="M505" i="3"/>
  <c r="N505" i="3" s="1"/>
  <c r="A506" i="3"/>
  <c r="B506" i="3" s="1"/>
  <c r="P506" i="3" s="1"/>
  <c r="Q506" i="3" s="1"/>
  <c r="R506" i="3" s="1"/>
  <c r="S506" i="3" s="1"/>
  <c r="L505" i="3"/>
  <c r="W505" i="3" l="1"/>
  <c r="AA506" i="3"/>
  <c r="AD506" i="3"/>
  <c r="AC506" i="3"/>
  <c r="Z506" i="3"/>
  <c r="U505" i="3"/>
  <c r="Y504" i="3"/>
  <c r="T506" i="3"/>
  <c r="AG506" i="3" l="1"/>
  <c r="D506" i="3"/>
  <c r="G506" i="3" s="1"/>
  <c r="AH506" i="3"/>
  <c r="E506" i="3"/>
  <c r="H506" i="3" s="1"/>
  <c r="K506" i="3" s="1"/>
  <c r="AE506" i="3" s="1"/>
  <c r="F506" i="3" l="1"/>
  <c r="I506" i="3"/>
  <c r="J506" i="3"/>
  <c r="M506" i="3"/>
  <c r="N506" i="3" s="1"/>
  <c r="V506" i="3"/>
  <c r="A507" i="3"/>
  <c r="B507" i="3" s="1"/>
  <c r="W506" i="3" l="1"/>
  <c r="L506" i="3"/>
  <c r="AD507" i="3"/>
  <c r="AC507" i="3"/>
  <c r="P507" i="3"/>
  <c r="Q507" i="3" s="1"/>
  <c r="R507" i="3" s="1"/>
  <c r="S507" i="3" s="1"/>
  <c r="AA507" i="3"/>
  <c r="Z507" i="3"/>
  <c r="U506" i="3" l="1"/>
  <c r="Y505" i="3"/>
  <c r="T507" i="3"/>
  <c r="AH507" i="3" s="1"/>
  <c r="AG507" i="3" l="1"/>
  <c r="E507" i="3"/>
  <c r="H507" i="3" s="1"/>
  <c r="D507" i="3"/>
  <c r="K507" i="3" l="1"/>
  <c r="AE507" i="3" s="1"/>
  <c r="F507" i="3"/>
  <c r="G507" i="3"/>
  <c r="I507" i="3" l="1"/>
  <c r="J507" i="3"/>
  <c r="M507" i="3"/>
  <c r="N507" i="3" s="1"/>
  <c r="V507" i="3"/>
  <c r="A508" i="3"/>
  <c r="B508" i="3" s="1"/>
  <c r="W507" i="3" l="1"/>
  <c r="L507" i="3"/>
  <c r="P508" i="3"/>
  <c r="Q508" i="3" s="1"/>
  <c r="R508" i="3" s="1"/>
  <c r="S508" i="3" s="1"/>
  <c r="AD508" i="3"/>
  <c r="AA508" i="3"/>
  <c r="Z508" i="3"/>
  <c r="AC508" i="3"/>
  <c r="U507" i="3" l="1"/>
  <c r="Y506" i="3"/>
  <c r="T508" i="3"/>
  <c r="E508" i="3" l="1"/>
  <c r="H508" i="3" s="1"/>
  <c r="K508" i="3" s="1"/>
  <c r="AE508" i="3" s="1"/>
  <c r="AH508" i="3"/>
  <c r="D508" i="3"/>
  <c r="AG508" i="3"/>
  <c r="F508" i="3" l="1"/>
  <c r="G508" i="3"/>
  <c r="V508" i="3"/>
  <c r="A509" i="3"/>
  <c r="B509" i="3" s="1"/>
  <c r="AD509" i="3" l="1"/>
  <c r="AC509" i="3"/>
  <c r="Z509" i="3"/>
  <c r="AA509" i="3"/>
  <c r="P509" i="3"/>
  <c r="Q509" i="3" s="1"/>
  <c r="R509" i="3" s="1"/>
  <c r="S509" i="3" s="1"/>
  <c r="I508" i="3"/>
  <c r="W508" i="3" s="1"/>
  <c r="J508" i="3"/>
  <c r="M508" i="3"/>
  <c r="N508" i="3" s="1"/>
  <c r="L508" i="3" l="1"/>
  <c r="T509" i="3"/>
  <c r="AG509" i="3" l="1"/>
  <c r="AH509" i="3"/>
  <c r="U508" i="3"/>
  <c r="D509" i="3" s="1"/>
  <c r="Y507" i="3"/>
  <c r="G509" i="3" l="1"/>
  <c r="E509" i="3"/>
  <c r="H509" i="3" s="1"/>
  <c r="F509" i="3" l="1"/>
  <c r="I509" i="3"/>
  <c r="J509" i="3"/>
  <c r="M509" i="3"/>
  <c r="N509" i="3" s="1"/>
  <c r="K509" i="3"/>
  <c r="AE509" i="3" s="1"/>
  <c r="V509" i="3" l="1"/>
  <c r="W509" i="3" s="1"/>
  <c r="A510" i="3"/>
  <c r="B510" i="3" s="1"/>
  <c r="L509" i="3"/>
  <c r="U509" i="3" l="1"/>
  <c r="Y508" i="3"/>
  <c r="AC510" i="3"/>
  <c r="Z510" i="3"/>
  <c r="AA510" i="3"/>
  <c r="AD510" i="3"/>
  <c r="P510" i="3"/>
  <c r="Q510" i="3" s="1"/>
  <c r="R510" i="3" s="1"/>
  <c r="S510" i="3" s="1"/>
  <c r="T510" i="3" l="1"/>
  <c r="AH510" i="3" l="1"/>
  <c r="E510" i="3"/>
  <c r="H510" i="3" s="1"/>
  <c r="D510" i="3"/>
  <c r="AG510" i="3"/>
  <c r="F510" i="3" l="1"/>
  <c r="G510" i="3"/>
  <c r="K510" i="3"/>
  <c r="AE510" i="3" s="1"/>
  <c r="V510" i="3" l="1"/>
  <c r="A511" i="3"/>
  <c r="B511" i="3" s="1"/>
  <c r="I510" i="3"/>
  <c r="J510" i="3"/>
  <c r="M510" i="3"/>
  <c r="N510" i="3" s="1"/>
  <c r="L510" i="3" l="1"/>
  <c r="AA511" i="3"/>
  <c r="AC511" i="3"/>
  <c r="P511" i="3"/>
  <c r="Q511" i="3" s="1"/>
  <c r="R511" i="3" s="1"/>
  <c r="S511" i="3" s="1"/>
  <c r="Z511" i="3"/>
  <c r="AD511" i="3"/>
  <c r="W510" i="3"/>
  <c r="U510" i="3" l="1"/>
  <c r="Y509" i="3"/>
  <c r="T511" i="3"/>
  <c r="AG511" i="3" s="1"/>
  <c r="AH511" i="3" l="1"/>
  <c r="D511" i="3"/>
  <c r="E511" i="3"/>
  <c r="H511" i="3" s="1"/>
  <c r="F511" i="3" l="1"/>
  <c r="G511" i="3"/>
  <c r="K511" i="3"/>
  <c r="AE511" i="3" s="1"/>
  <c r="V511" i="3" l="1"/>
  <c r="A512" i="3"/>
  <c r="B512" i="3" s="1"/>
  <c r="I511" i="3"/>
  <c r="J511" i="3"/>
  <c r="M511" i="3"/>
  <c r="N511" i="3" s="1"/>
  <c r="W511" i="3" l="1"/>
  <c r="L511" i="3"/>
  <c r="AC512" i="3"/>
  <c r="Z512" i="3"/>
  <c r="AA512" i="3"/>
  <c r="P512" i="3"/>
  <c r="Q512" i="3" s="1"/>
  <c r="R512" i="3" s="1"/>
  <c r="S512" i="3" s="1"/>
  <c r="AD512" i="3"/>
  <c r="T512" i="3" l="1"/>
  <c r="U511" i="3"/>
  <c r="Y510" i="3"/>
  <c r="D512" i="3" l="1"/>
  <c r="G512" i="3" s="1"/>
  <c r="AH512" i="3"/>
  <c r="E512" i="3"/>
  <c r="H512" i="3" s="1"/>
  <c r="K512" i="3" s="1"/>
  <c r="AE512" i="3" s="1"/>
  <c r="AG512" i="3"/>
  <c r="F512" i="3" l="1"/>
  <c r="I512" i="3"/>
  <c r="J512" i="3"/>
  <c r="M512" i="3"/>
  <c r="N512" i="3" s="1"/>
  <c r="V512" i="3"/>
  <c r="A513" i="3"/>
  <c r="B513" i="3" s="1"/>
  <c r="W512" i="3" l="1"/>
  <c r="L512" i="3"/>
  <c r="AA513" i="3"/>
  <c r="P513" i="3"/>
  <c r="Q513" i="3" s="1"/>
  <c r="R513" i="3" s="1"/>
  <c r="S513" i="3" s="1"/>
  <c r="AC513" i="3"/>
  <c r="AD513" i="3"/>
  <c r="Z513" i="3"/>
  <c r="T513" i="3" l="1"/>
  <c r="AG513" i="3" s="1"/>
  <c r="U512" i="3"/>
  <c r="Y511" i="3"/>
  <c r="AH513" i="3" l="1"/>
  <c r="E513" i="3"/>
  <c r="H513" i="3" s="1"/>
  <c r="D513" i="3"/>
  <c r="F513" i="3" l="1"/>
  <c r="G513" i="3"/>
  <c r="K513" i="3"/>
  <c r="AE513" i="3" s="1"/>
  <c r="V513" i="3" l="1"/>
  <c r="A514" i="3"/>
  <c r="B514" i="3" s="1"/>
  <c r="I513" i="3"/>
  <c r="J513" i="3"/>
  <c r="M513" i="3"/>
  <c r="N513" i="3" s="1"/>
  <c r="L513" i="3" l="1"/>
  <c r="Z514" i="3"/>
  <c r="AA514" i="3"/>
  <c r="AC514" i="3"/>
  <c r="P514" i="3"/>
  <c r="Q514" i="3" s="1"/>
  <c r="R514" i="3" s="1"/>
  <c r="S514" i="3" s="1"/>
  <c r="W513" i="3"/>
  <c r="T514" i="3" l="1"/>
  <c r="AH514" i="3" s="1"/>
  <c r="U513" i="3"/>
  <c r="Y512" i="3"/>
  <c r="AG514" i="3" l="1"/>
  <c r="E514" i="3"/>
  <c r="H514" i="3" s="1"/>
  <c r="D514" i="3"/>
  <c r="K514" i="3" l="1"/>
  <c r="AE514" i="3" s="1"/>
  <c r="F514" i="3"/>
  <c r="G514" i="3"/>
  <c r="V514" i="3" l="1"/>
  <c r="A515" i="3"/>
  <c r="B515" i="3" s="1"/>
  <c r="I514" i="3"/>
  <c r="J514" i="3"/>
  <c r="AD514" i="3" s="1"/>
  <c r="M514" i="3"/>
  <c r="N514" i="3" s="1"/>
  <c r="W514" i="3" l="1"/>
  <c r="L514" i="3"/>
  <c r="AD515" i="3"/>
  <c r="P515" i="3"/>
  <c r="Q515" i="3" s="1"/>
  <c r="R515" i="3" s="1"/>
  <c r="S515" i="3" s="1"/>
  <c r="AC515" i="3"/>
  <c r="Z515" i="3"/>
  <c r="AA515" i="3"/>
  <c r="U514" i="3" l="1"/>
  <c r="Y513" i="3"/>
  <c r="T515" i="3"/>
  <c r="D515" i="3" l="1"/>
  <c r="G515" i="3" s="1"/>
  <c r="AG515" i="3"/>
  <c r="AH515" i="3"/>
  <c r="E515" i="3"/>
  <c r="H515" i="3" s="1"/>
  <c r="K515" i="3" l="1"/>
  <c r="AE515" i="3" s="1"/>
  <c r="I515" i="3"/>
  <c r="J515" i="3"/>
  <c r="M515" i="3"/>
  <c r="N515" i="3" s="1"/>
  <c r="F515" i="3"/>
  <c r="L515" i="3" l="1"/>
  <c r="V515" i="3"/>
  <c r="W515" i="3" s="1"/>
  <c r="A516" i="3"/>
  <c r="B516" i="3" s="1"/>
  <c r="U515" i="3" l="1"/>
  <c r="Y514" i="3"/>
  <c r="AA516" i="3"/>
  <c r="Z516" i="3"/>
  <c r="AC516" i="3"/>
  <c r="P516" i="3"/>
  <c r="Q516" i="3" s="1"/>
  <c r="R516" i="3" s="1"/>
  <c r="S516" i="3" s="1"/>
  <c r="AD516" i="3"/>
  <c r="T516" i="3" l="1"/>
  <c r="AG516" i="3" s="1"/>
  <c r="D516" i="3" l="1"/>
  <c r="AH516" i="3"/>
  <c r="E516" i="3"/>
  <c r="H516" i="3" s="1"/>
  <c r="F516" i="3" l="1"/>
  <c r="G516" i="3"/>
  <c r="K516" i="3"/>
  <c r="AE516" i="3" s="1"/>
  <c r="I516" i="3" l="1"/>
  <c r="J516" i="3"/>
  <c r="M516" i="3"/>
  <c r="N516" i="3" s="1"/>
  <c r="V516" i="3"/>
  <c r="A517" i="3"/>
  <c r="B517" i="3" s="1"/>
  <c r="W516" i="3" l="1"/>
  <c r="L516" i="3"/>
  <c r="AD517" i="3"/>
  <c r="AC517" i="3"/>
  <c r="P517" i="3"/>
  <c r="Q517" i="3" s="1"/>
  <c r="R517" i="3" s="1"/>
  <c r="S517" i="3" s="1"/>
  <c r="AA517" i="3"/>
  <c r="Z517" i="3"/>
  <c r="U516" i="3" l="1"/>
  <c r="Y515" i="3"/>
  <c r="T517" i="3"/>
  <c r="AG517" i="3" s="1"/>
  <c r="D517" i="3" l="1"/>
  <c r="G517" i="3" s="1"/>
  <c r="AH517" i="3"/>
  <c r="E517" i="3"/>
  <c r="H517" i="3" s="1"/>
  <c r="K517" i="3" s="1"/>
  <c r="AE517" i="3" s="1"/>
  <c r="F517" i="3" l="1"/>
  <c r="I517" i="3"/>
  <c r="J517" i="3"/>
  <c r="M517" i="3"/>
  <c r="N517" i="3" s="1"/>
  <c r="V517" i="3"/>
  <c r="A518" i="3"/>
  <c r="B518" i="3" s="1"/>
  <c r="W517" i="3" l="1"/>
  <c r="L517" i="3"/>
  <c r="AD518" i="3"/>
  <c r="AA518" i="3"/>
  <c r="AC518" i="3"/>
  <c r="Z518" i="3"/>
  <c r="P518" i="3"/>
  <c r="Q518" i="3" s="1"/>
  <c r="R518" i="3" s="1"/>
  <c r="S518" i="3" s="1"/>
  <c r="U517" i="3" l="1"/>
  <c r="Y516" i="3"/>
  <c r="T518" i="3"/>
  <c r="D518" i="3" l="1"/>
  <c r="G518" i="3" s="1"/>
  <c r="E518" i="3"/>
  <c r="H518" i="3" s="1"/>
  <c r="AH518" i="3"/>
  <c r="AG518" i="3"/>
  <c r="F518" i="3" l="1"/>
  <c r="I518" i="3"/>
  <c r="J518" i="3"/>
  <c r="M518" i="3"/>
  <c r="N518" i="3" s="1"/>
  <c r="K518" i="3"/>
  <c r="AE518" i="3" s="1"/>
  <c r="V518" i="3" l="1"/>
  <c r="W518" i="3" s="1"/>
  <c r="A519" i="3"/>
  <c r="B519" i="3" s="1"/>
  <c r="L518" i="3"/>
  <c r="U518" i="3" l="1"/>
  <c r="Y517" i="3"/>
  <c r="AD519" i="3"/>
  <c r="AA519" i="3"/>
  <c r="Z519" i="3"/>
  <c r="AC519" i="3"/>
  <c r="P519" i="3"/>
  <c r="Q519" i="3" s="1"/>
  <c r="R519" i="3" s="1"/>
  <c r="S519" i="3" s="1"/>
  <c r="T519" i="3" l="1"/>
  <c r="D519" i="3" s="1"/>
  <c r="AG519" i="3" l="1"/>
  <c r="G519" i="3"/>
  <c r="AH519" i="3"/>
  <c r="E519" i="3"/>
  <c r="H519" i="3" s="1"/>
  <c r="F519" i="3" l="1"/>
  <c r="I519" i="3"/>
  <c r="J519" i="3"/>
  <c r="M519" i="3"/>
  <c r="N519" i="3" s="1"/>
  <c r="K519" i="3"/>
  <c r="AE519" i="3" s="1"/>
  <c r="V519" i="3" l="1"/>
  <c r="W519" i="3" s="1"/>
  <c r="A520" i="3"/>
  <c r="B520" i="3" s="1"/>
  <c r="L519" i="3"/>
  <c r="U519" i="3" l="1"/>
  <c r="Y518" i="3"/>
  <c r="AA520" i="3"/>
  <c r="AC520" i="3"/>
  <c r="Z520" i="3"/>
  <c r="AD520" i="3"/>
  <c r="P520" i="3"/>
  <c r="Q520" i="3" s="1"/>
  <c r="R520" i="3" s="1"/>
  <c r="S520" i="3" s="1"/>
  <c r="T520" i="3" l="1"/>
  <c r="D520" i="3" s="1"/>
  <c r="AG520" i="3" l="1"/>
  <c r="E520" i="3"/>
  <c r="H520" i="3" s="1"/>
  <c r="K520" i="3" s="1"/>
  <c r="AE520" i="3" s="1"/>
  <c r="AH520" i="3"/>
  <c r="G520" i="3"/>
  <c r="F520" i="3" l="1"/>
  <c r="I520" i="3"/>
  <c r="J520" i="3"/>
  <c r="M520" i="3"/>
  <c r="N520" i="3" s="1"/>
  <c r="V520" i="3"/>
  <c r="A521" i="3"/>
  <c r="B521" i="3" s="1"/>
  <c r="W520" i="3" l="1"/>
  <c r="L520" i="3"/>
  <c r="P521" i="3"/>
  <c r="Q521" i="3" s="1"/>
  <c r="R521" i="3" s="1"/>
  <c r="S521" i="3" s="1"/>
  <c r="AC521" i="3"/>
  <c r="AA521" i="3"/>
  <c r="AD521" i="3"/>
  <c r="Z521" i="3"/>
  <c r="U520" i="3" l="1"/>
  <c r="Y519" i="3"/>
  <c r="T521" i="3"/>
  <c r="AH521" i="3" s="1"/>
  <c r="AG521" i="3" l="1"/>
  <c r="D521" i="3"/>
  <c r="E521" i="3"/>
  <c r="H521" i="3" s="1"/>
  <c r="K521" i="3" s="1"/>
  <c r="AE521" i="3" s="1"/>
  <c r="F521" i="3" l="1"/>
  <c r="G521" i="3"/>
  <c r="I521" i="3" s="1"/>
  <c r="V521" i="3"/>
  <c r="A522" i="3"/>
  <c r="B522" i="3" s="1"/>
  <c r="M521" i="3" l="1"/>
  <c r="N521" i="3" s="1"/>
  <c r="J521" i="3"/>
  <c r="L521" i="3" s="1"/>
  <c r="W521" i="3"/>
  <c r="AC522" i="3"/>
  <c r="P522" i="3"/>
  <c r="Q522" i="3" s="1"/>
  <c r="R522" i="3" s="1"/>
  <c r="S522" i="3" s="1"/>
  <c r="AA522" i="3"/>
  <c r="AD522" i="3"/>
  <c r="Z522" i="3"/>
  <c r="U521" i="3" l="1"/>
  <c r="Y520" i="3"/>
  <c r="T522" i="3"/>
  <c r="AG522" i="3" s="1"/>
  <c r="AH522" i="3" l="1"/>
  <c r="E522" i="3"/>
  <c r="H522" i="3" s="1"/>
  <c r="D522" i="3"/>
  <c r="K522" i="3" l="1"/>
  <c r="AE522" i="3" s="1"/>
  <c r="F522" i="3"/>
  <c r="G522" i="3"/>
  <c r="I522" i="3" l="1"/>
  <c r="J522" i="3"/>
  <c r="M522" i="3"/>
  <c r="N522" i="3" s="1"/>
  <c r="V522" i="3"/>
  <c r="A523" i="3"/>
  <c r="B523" i="3" s="1"/>
  <c r="W522" i="3" l="1"/>
  <c r="L522" i="3"/>
  <c r="AC523" i="3"/>
  <c r="Z523" i="3"/>
  <c r="AD523" i="3"/>
  <c r="AA523" i="3"/>
  <c r="P523" i="3"/>
  <c r="Q523" i="3" s="1"/>
  <c r="R523" i="3" s="1"/>
  <c r="S523" i="3" s="1"/>
  <c r="U522" i="3" l="1"/>
  <c r="Y521" i="3"/>
  <c r="T523" i="3"/>
  <c r="AG523" i="3" s="1"/>
  <c r="AH523" i="3" l="1"/>
  <c r="D523" i="3"/>
  <c r="G523" i="3" s="1"/>
  <c r="E523" i="3"/>
  <c r="H523" i="3" s="1"/>
  <c r="F523" i="3" l="1"/>
  <c r="I523" i="3"/>
  <c r="J523" i="3"/>
  <c r="M523" i="3"/>
  <c r="N523" i="3" s="1"/>
  <c r="K523" i="3"/>
  <c r="AE523" i="3" s="1"/>
  <c r="V523" i="3" l="1"/>
  <c r="W523" i="3" s="1"/>
  <c r="A524" i="3"/>
  <c r="B524" i="3" s="1"/>
  <c r="L523" i="3"/>
  <c r="U523" i="3" l="1"/>
  <c r="Y522" i="3"/>
  <c r="Z524" i="3"/>
  <c r="P524" i="3"/>
  <c r="Q524" i="3" s="1"/>
  <c r="R524" i="3" s="1"/>
  <c r="S524" i="3" s="1"/>
  <c r="AC524" i="3"/>
  <c r="AA524" i="3"/>
  <c r="T524" i="3" l="1"/>
  <c r="E524" i="3" s="1"/>
  <c r="H524" i="3" s="1"/>
  <c r="D524" i="3" l="1"/>
  <c r="G524" i="3" s="1"/>
  <c r="K524" i="3"/>
  <c r="AE524" i="3" s="1"/>
  <c r="AH524" i="3"/>
  <c r="AG524" i="3"/>
  <c r="F524" i="3" l="1"/>
  <c r="I524" i="3"/>
  <c r="J524" i="3"/>
  <c r="AD524" i="3" s="1"/>
  <c r="M524" i="3"/>
  <c r="N524" i="3" s="1"/>
  <c r="V524" i="3"/>
  <c r="A525" i="3"/>
  <c r="B525" i="3" s="1"/>
  <c r="W524" i="3" l="1"/>
  <c r="L524" i="3"/>
  <c r="AA525" i="3"/>
  <c r="AC525" i="3"/>
  <c r="AD525" i="3"/>
  <c r="Z525" i="3"/>
  <c r="P525" i="3"/>
  <c r="Q525" i="3" s="1"/>
  <c r="R525" i="3" s="1"/>
  <c r="S525" i="3" s="1"/>
  <c r="T525" i="3" l="1"/>
  <c r="AH525" i="3" s="1"/>
  <c r="U524" i="3"/>
  <c r="Y523" i="3"/>
  <c r="AG525" i="3" l="1"/>
  <c r="D525" i="3"/>
  <c r="E525" i="3"/>
  <c r="H525" i="3" s="1"/>
  <c r="F525" i="3" l="1"/>
  <c r="G525" i="3"/>
  <c r="K525" i="3"/>
  <c r="AE525" i="3" s="1"/>
  <c r="I525" i="3" l="1"/>
  <c r="J525" i="3"/>
  <c r="M525" i="3"/>
  <c r="N525" i="3" s="1"/>
  <c r="V525" i="3"/>
  <c r="A526" i="3"/>
  <c r="B526" i="3" s="1"/>
  <c r="L525" i="3" l="1"/>
  <c r="W525" i="3"/>
  <c r="AA526" i="3"/>
  <c r="P526" i="3"/>
  <c r="Q526" i="3" s="1"/>
  <c r="R526" i="3" s="1"/>
  <c r="S526" i="3" s="1"/>
  <c r="Z526" i="3"/>
  <c r="AD526" i="3"/>
  <c r="AC526" i="3"/>
  <c r="T526" i="3" l="1"/>
  <c r="U525" i="3"/>
  <c r="Y524" i="3"/>
  <c r="D526" i="3" l="1"/>
  <c r="G526" i="3" s="1"/>
  <c r="AH526" i="3"/>
  <c r="E526" i="3"/>
  <c r="H526" i="3" s="1"/>
  <c r="K526" i="3" s="1"/>
  <c r="AE526" i="3" s="1"/>
  <c r="AG526" i="3"/>
  <c r="F526" i="3" l="1"/>
  <c r="V526" i="3"/>
  <c r="A527" i="3"/>
  <c r="B527" i="3" s="1"/>
  <c r="I526" i="3"/>
  <c r="J526" i="3"/>
  <c r="M526" i="3"/>
  <c r="N526" i="3" s="1"/>
  <c r="W526" i="3" l="1"/>
  <c r="L526" i="3"/>
  <c r="AD527" i="3"/>
  <c r="Z527" i="3"/>
  <c r="AC527" i="3"/>
  <c r="P527" i="3"/>
  <c r="Q527" i="3" s="1"/>
  <c r="R527" i="3" s="1"/>
  <c r="S527" i="3" s="1"/>
  <c r="AA527" i="3"/>
  <c r="U526" i="3" l="1"/>
  <c r="Y525" i="3"/>
  <c r="T527" i="3"/>
  <c r="D527" i="3" l="1"/>
  <c r="G527" i="3" s="1"/>
  <c r="E527" i="3"/>
  <c r="H527" i="3" s="1"/>
  <c r="AG527" i="3"/>
  <c r="AH527" i="3"/>
  <c r="F527" i="3" l="1"/>
  <c r="I527" i="3"/>
  <c r="J527" i="3"/>
  <c r="M527" i="3"/>
  <c r="N527" i="3" s="1"/>
  <c r="K527" i="3"/>
  <c r="AE527" i="3" s="1"/>
  <c r="V527" i="3" l="1"/>
  <c r="W527" i="3" s="1"/>
  <c r="A528" i="3"/>
  <c r="B528" i="3" s="1"/>
  <c r="L527" i="3"/>
  <c r="U527" i="3" l="1"/>
  <c r="Y526" i="3"/>
  <c r="Z528" i="3"/>
  <c r="P528" i="3"/>
  <c r="Q528" i="3" s="1"/>
  <c r="R528" i="3" s="1"/>
  <c r="S528" i="3" s="1"/>
  <c r="AC528" i="3"/>
  <c r="AD528" i="3"/>
  <c r="AA528" i="3"/>
  <c r="T528" i="3" l="1"/>
  <c r="AH528" i="3" s="1"/>
  <c r="D528" i="3" l="1"/>
  <c r="E528" i="3"/>
  <c r="H528" i="3" s="1"/>
  <c r="K528" i="3" s="1"/>
  <c r="AE528" i="3" s="1"/>
  <c r="AG528" i="3"/>
  <c r="F528" i="3" l="1"/>
  <c r="G528" i="3"/>
  <c r="M528" i="3" s="1"/>
  <c r="N528" i="3" s="1"/>
  <c r="V528" i="3"/>
  <c r="A529" i="3"/>
  <c r="B529" i="3" s="1"/>
  <c r="I528" i="3" l="1"/>
  <c r="W528" i="3" s="1"/>
  <c r="J528" i="3"/>
  <c r="L528" i="3" s="1"/>
  <c r="Z529" i="3"/>
  <c r="AC529" i="3"/>
  <c r="AD529" i="3"/>
  <c r="P529" i="3"/>
  <c r="Q529" i="3" s="1"/>
  <c r="R529" i="3" s="1"/>
  <c r="S529" i="3" s="1"/>
  <c r="AA529" i="3"/>
  <c r="U528" i="3" l="1"/>
  <c r="Y527" i="3"/>
  <c r="T529" i="3"/>
  <c r="AG529" i="3" s="1"/>
  <c r="D529" i="3" l="1"/>
  <c r="G529" i="3" s="1"/>
  <c r="AH529" i="3"/>
  <c r="E529" i="3"/>
  <c r="H529" i="3" s="1"/>
  <c r="K529" i="3" s="1"/>
  <c r="AE529" i="3" s="1"/>
  <c r="F529" i="3" l="1"/>
  <c r="I529" i="3"/>
  <c r="J529" i="3"/>
  <c r="M529" i="3"/>
  <c r="N529" i="3" s="1"/>
  <c r="V529" i="3"/>
  <c r="A530" i="3"/>
  <c r="B530" i="3" s="1"/>
  <c r="W529" i="3" l="1"/>
  <c r="L529" i="3"/>
  <c r="Z530" i="3"/>
  <c r="AD530" i="3"/>
  <c r="P530" i="3"/>
  <c r="Q530" i="3" s="1"/>
  <c r="R530" i="3" s="1"/>
  <c r="S530" i="3" s="1"/>
  <c r="AC530" i="3"/>
  <c r="AA530" i="3"/>
  <c r="T530" i="3" l="1"/>
  <c r="AG530" i="3" s="1"/>
  <c r="U529" i="3"/>
  <c r="Y528" i="3"/>
  <c r="D530" i="3" l="1"/>
  <c r="G530" i="3" s="1"/>
  <c r="AH530" i="3"/>
  <c r="E530" i="3"/>
  <c r="H530" i="3" s="1"/>
  <c r="F530" i="3" l="1"/>
  <c r="I530" i="3"/>
  <c r="J530" i="3"/>
  <c r="M530" i="3"/>
  <c r="N530" i="3" s="1"/>
  <c r="K530" i="3"/>
  <c r="AE530" i="3" s="1"/>
  <c r="V530" i="3" l="1"/>
  <c r="W530" i="3" s="1"/>
  <c r="A531" i="3"/>
  <c r="B531" i="3" s="1"/>
  <c r="L530" i="3"/>
  <c r="U530" i="3" l="1"/>
  <c r="Y529" i="3"/>
  <c r="Z531" i="3"/>
  <c r="AD531" i="3"/>
  <c r="AC531" i="3"/>
  <c r="AA531" i="3"/>
  <c r="P531" i="3"/>
  <c r="Q531" i="3" s="1"/>
  <c r="R531" i="3" s="1"/>
  <c r="S531" i="3" s="1"/>
  <c r="T531" i="3" l="1"/>
  <c r="AG531" i="3" s="1"/>
  <c r="AH531" i="3" l="1"/>
  <c r="D531" i="3"/>
  <c r="E531" i="3"/>
  <c r="H531" i="3" s="1"/>
  <c r="K531" i="3" l="1"/>
  <c r="AE531" i="3" s="1"/>
  <c r="F531" i="3"/>
  <c r="G531" i="3"/>
  <c r="I531" i="3" l="1"/>
  <c r="J531" i="3"/>
  <c r="M531" i="3"/>
  <c r="N531" i="3" s="1"/>
  <c r="V531" i="3"/>
  <c r="A532" i="3"/>
  <c r="B532" i="3" s="1"/>
  <c r="W531" i="3" l="1"/>
  <c r="L531" i="3"/>
  <c r="AD532" i="3"/>
  <c r="AC532" i="3"/>
  <c r="Z532" i="3"/>
  <c r="P532" i="3"/>
  <c r="Q532" i="3" s="1"/>
  <c r="R532" i="3" s="1"/>
  <c r="S532" i="3" s="1"/>
  <c r="AA532" i="3"/>
  <c r="U531" i="3" l="1"/>
  <c r="Y530" i="3"/>
  <c r="T532" i="3"/>
  <c r="AH532" i="3" s="1"/>
  <c r="D532" i="3" l="1"/>
  <c r="G532" i="3" s="1"/>
  <c r="AG532" i="3"/>
  <c r="E532" i="3"/>
  <c r="H532" i="3" s="1"/>
  <c r="K532" i="3" s="1"/>
  <c r="AE532" i="3" s="1"/>
  <c r="F532" i="3" l="1"/>
  <c r="V532" i="3"/>
  <c r="A533" i="3"/>
  <c r="B533" i="3" s="1"/>
  <c r="I532" i="3"/>
  <c r="J532" i="3"/>
  <c r="M532" i="3"/>
  <c r="N532" i="3" s="1"/>
  <c r="W532" i="3" l="1"/>
  <c r="L532" i="3"/>
  <c r="P533" i="3"/>
  <c r="Q533" i="3" s="1"/>
  <c r="R533" i="3" s="1"/>
  <c r="S533" i="3" s="1"/>
  <c r="AD533" i="3"/>
  <c r="AA533" i="3"/>
  <c r="Z533" i="3"/>
  <c r="AC533" i="3"/>
  <c r="T533" i="3" l="1"/>
  <c r="U532" i="3"/>
  <c r="Y531" i="3"/>
  <c r="E533" i="3" l="1"/>
  <c r="H533" i="3" s="1"/>
  <c r="K533" i="3" s="1"/>
  <c r="AE533" i="3" s="1"/>
  <c r="AH533" i="3"/>
  <c r="AG533" i="3"/>
  <c r="D533" i="3"/>
  <c r="F533" i="3" l="1"/>
  <c r="G533" i="3"/>
  <c r="V533" i="3"/>
  <c r="A534" i="3"/>
  <c r="B534" i="3" s="1"/>
  <c r="Z534" i="3" l="1"/>
  <c r="AC534" i="3"/>
  <c r="AA534" i="3"/>
  <c r="P534" i="3"/>
  <c r="Q534" i="3" s="1"/>
  <c r="R534" i="3" s="1"/>
  <c r="S534" i="3" s="1"/>
  <c r="I533" i="3"/>
  <c r="W533" i="3" s="1"/>
  <c r="J533" i="3"/>
  <c r="M533" i="3"/>
  <c r="N533" i="3" s="1"/>
  <c r="L533" i="3" l="1"/>
  <c r="T534" i="3"/>
  <c r="U533" i="3" l="1"/>
  <c r="D534" i="3" s="1"/>
  <c r="AG534" i="3"/>
  <c r="AH534" i="3"/>
  <c r="Y532" i="3"/>
  <c r="E534" i="3" l="1"/>
  <c r="H534" i="3" s="1"/>
  <c r="K534" i="3" s="1"/>
  <c r="AE534" i="3" s="1"/>
  <c r="G534" i="3"/>
  <c r="F534" i="3" l="1"/>
  <c r="V534" i="3"/>
  <c r="A535" i="3"/>
  <c r="B535" i="3" s="1"/>
  <c r="I534" i="3"/>
  <c r="J534" i="3"/>
  <c r="AD534" i="3" s="1"/>
  <c r="M534" i="3"/>
  <c r="N534" i="3" s="1"/>
  <c r="W534" i="3" l="1"/>
  <c r="L534" i="3"/>
  <c r="AA535" i="3"/>
  <c r="AC535" i="3"/>
  <c r="AD535" i="3"/>
  <c r="Z535" i="3"/>
  <c r="P535" i="3"/>
  <c r="Q535" i="3" s="1"/>
  <c r="R535" i="3" s="1"/>
  <c r="S535" i="3" s="1"/>
  <c r="T535" i="3" l="1"/>
  <c r="U534" i="3"/>
  <c r="Y533" i="3"/>
  <c r="D535" i="3" l="1"/>
  <c r="G535" i="3" s="1"/>
  <c r="E535" i="3"/>
  <c r="H535" i="3" s="1"/>
  <c r="K535" i="3" s="1"/>
  <c r="AE535" i="3" s="1"/>
  <c r="AG535" i="3"/>
  <c r="AH535" i="3"/>
  <c r="F535" i="3" l="1"/>
  <c r="V535" i="3"/>
  <c r="A536" i="3"/>
  <c r="B536" i="3" s="1"/>
  <c r="I535" i="3"/>
  <c r="J535" i="3"/>
  <c r="M535" i="3"/>
  <c r="N535" i="3" s="1"/>
  <c r="W535" i="3" l="1"/>
  <c r="L535" i="3"/>
  <c r="AC536" i="3"/>
  <c r="AA536" i="3"/>
  <c r="Z536" i="3"/>
  <c r="P536" i="3"/>
  <c r="Q536" i="3" s="1"/>
  <c r="R536" i="3" s="1"/>
  <c r="S536" i="3" s="1"/>
  <c r="AD536" i="3"/>
  <c r="U535" i="3" l="1"/>
  <c r="Y534" i="3"/>
  <c r="T536" i="3"/>
  <c r="AH536" i="3" s="1"/>
  <c r="AG536" i="3" l="1"/>
  <c r="E536" i="3"/>
  <c r="H536" i="3" s="1"/>
  <c r="D536" i="3"/>
  <c r="K536" i="3" l="1"/>
  <c r="AE536" i="3" s="1"/>
  <c r="F536" i="3"/>
  <c r="G536" i="3"/>
  <c r="I536" i="3" l="1"/>
  <c r="J536" i="3"/>
  <c r="M536" i="3"/>
  <c r="N536" i="3" s="1"/>
  <c r="V536" i="3"/>
  <c r="A537" i="3"/>
  <c r="B537" i="3" s="1"/>
  <c r="W536" i="3" l="1"/>
  <c r="L536" i="3"/>
  <c r="AC537" i="3"/>
  <c r="P537" i="3"/>
  <c r="Q537" i="3" s="1"/>
  <c r="R537" i="3" s="1"/>
  <c r="S537" i="3" s="1"/>
  <c r="Z537" i="3"/>
  <c r="AD537" i="3"/>
  <c r="AA537" i="3"/>
  <c r="U536" i="3" l="1"/>
  <c r="Y535" i="3"/>
  <c r="T537" i="3"/>
  <c r="AH537" i="3" s="1"/>
  <c r="AG537" i="3" l="1"/>
  <c r="E537" i="3"/>
  <c r="H537" i="3" s="1"/>
  <c r="D537" i="3"/>
  <c r="K537" i="3" l="1"/>
  <c r="AE537" i="3" s="1"/>
  <c r="F537" i="3"/>
  <c r="G537" i="3"/>
  <c r="I537" i="3" l="1"/>
  <c r="J537" i="3"/>
  <c r="M537" i="3"/>
  <c r="N537" i="3" s="1"/>
  <c r="V537" i="3"/>
  <c r="A538" i="3"/>
  <c r="B538" i="3" s="1"/>
  <c r="W537" i="3" l="1"/>
  <c r="L537" i="3"/>
  <c r="AA538" i="3"/>
  <c r="AC538" i="3"/>
  <c r="AD538" i="3"/>
  <c r="Z538" i="3"/>
  <c r="P538" i="3"/>
  <c r="Q538" i="3" s="1"/>
  <c r="R538" i="3" s="1"/>
  <c r="S538" i="3" s="1"/>
  <c r="T538" i="3" l="1"/>
  <c r="U537" i="3"/>
  <c r="Y536" i="3"/>
  <c r="D538" i="3" l="1"/>
  <c r="G538" i="3" s="1"/>
  <c r="AH538" i="3"/>
  <c r="AG538" i="3"/>
  <c r="E538" i="3"/>
  <c r="H538" i="3" s="1"/>
  <c r="F538" i="3" l="1"/>
  <c r="I538" i="3"/>
  <c r="J538" i="3"/>
  <c r="M538" i="3"/>
  <c r="N538" i="3" s="1"/>
  <c r="K538" i="3"/>
  <c r="AE538" i="3" s="1"/>
  <c r="V538" i="3" l="1"/>
  <c r="W538" i="3" s="1"/>
  <c r="A539" i="3"/>
  <c r="B539" i="3" s="1"/>
  <c r="L538" i="3"/>
  <c r="U538" i="3" l="1"/>
  <c r="Y537" i="3"/>
  <c r="Z539" i="3"/>
  <c r="P539" i="3"/>
  <c r="Q539" i="3" s="1"/>
  <c r="R539" i="3" s="1"/>
  <c r="S539" i="3" s="1"/>
  <c r="AD539" i="3"/>
  <c r="AA539" i="3"/>
  <c r="AC539" i="3"/>
  <c r="T539" i="3" l="1"/>
  <c r="AH539" i="3" s="1"/>
  <c r="AG539" i="3" l="1"/>
  <c r="E539" i="3"/>
  <c r="H539" i="3" s="1"/>
  <c r="K539" i="3" s="1"/>
  <c r="AE539" i="3" s="1"/>
  <c r="D539" i="3"/>
  <c r="G539" i="3" s="1"/>
  <c r="F539" i="3" l="1"/>
  <c r="V539" i="3"/>
  <c r="A540" i="3"/>
  <c r="B540" i="3" s="1"/>
  <c r="I539" i="3"/>
  <c r="J539" i="3"/>
  <c r="M539" i="3"/>
  <c r="N539" i="3" s="1"/>
  <c r="W539" i="3" l="1"/>
  <c r="L539" i="3"/>
  <c r="AA540" i="3"/>
  <c r="AC540" i="3"/>
  <c r="Z540" i="3"/>
  <c r="AD540" i="3"/>
  <c r="P540" i="3"/>
  <c r="Q540" i="3" s="1"/>
  <c r="R540" i="3" s="1"/>
  <c r="S540" i="3" s="1"/>
  <c r="U539" i="3" l="1"/>
  <c r="Y538" i="3"/>
  <c r="T540" i="3"/>
  <c r="AG540" i="3" s="1"/>
  <c r="E540" i="3" l="1"/>
  <c r="H540" i="3" s="1"/>
  <c r="D540" i="3"/>
  <c r="AH540" i="3"/>
  <c r="K540" i="3" l="1"/>
  <c r="AE540" i="3" s="1"/>
  <c r="F540" i="3"/>
  <c r="G540" i="3"/>
  <c r="V540" i="3" l="1"/>
  <c r="A541" i="3"/>
  <c r="B541" i="3" s="1"/>
  <c r="I540" i="3"/>
  <c r="J540" i="3"/>
  <c r="M540" i="3"/>
  <c r="N540" i="3" s="1"/>
  <c r="W540" i="3" l="1"/>
  <c r="L540" i="3"/>
  <c r="P541" i="3"/>
  <c r="Q541" i="3" s="1"/>
  <c r="R541" i="3" s="1"/>
  <c r="S541" i="3" s="1"/>
  <c r="AA541" i="3"/>
  <c r="AD541" i="3"/>
  <c r="Z541" i="3"/>
  <c r="AC541" i="3"/>
  <c r="U540" i="3" l="1"/>
  <c r="Y539" i="3"/>
  <c r="T541" i="3"/>
  <c r="AG541" i="3" s="1"/>
  <c r="AH541" i="3" l="1"/>
  <c r="E541" i="3"/>
  <c r="H541" i="3" s="1"/>
  <c r="D541" i="3"/>
  <c r="K541" i="3" l="1"/>
  <c r="AE541" i="3" s="1"/>
  <c r="F541" i="3"/>
  <c r="G541" i="3"/>
  <c r="I541" i="3" l="1"/>
  <c r="J541" i="3"/>
  <c r="M541" i="3"/>
  <c r="N541" i="3" s="1"/>
  <c r="V541" i="3"/>
  <c r="A542" i="3"/>
  <c r="B542" i="3" s="1"/>
  <c r="W541" i="3" l="1"/>
  <c r="L541" i="3"/>
  <c r="AC542" i="3"/>
  <c r="P542" i="3"/>
  <c r="Q542" i="3" s="1"/>
  <c r="R542" i="3" s="1"/>
  <c r="S542" i="3" s="1"/>
  <c r="AA542" i="3"/>
  <c r="Z542" i="3"/>
  <c r="AD542" i="3"/>
  <c r="T542" i="3" l="1"/>
  <c r="AH542" i="3" s="1"/>
  <c r="U541" i="3"/>
  <c r="Y540" i="3"/>
  <c r="E542" i="3" l="1"/>
  <c r="H542" i="3" s="1"/>
  <c r="K542" i="3" s="1"/>
  <c r="AE542" i="3" s="1"/>
  <c r="AG542" i="3"/>
  <c r="D542" i="3"/>
  <c r="F542" i="3" l="1"/>
  <c r="G542" i="3"/>
  <c r="V542" i="3"/>
  <c r="A543" i="3"/>
  <c r="B543" i="3" s="1"/>
  <c r="P543" i="3" l="1"/>
  <c r="Q543" i="3" s="1"/>
  <c r="R543" i="3" s="1"/>
  <c r="S543" i="3" s="1"/>
  <c r="AD543" i="3"/>
  <c r="Z543" i="3"/>
  <c r="AA543" i="3"/>
  <c r="AC543" i="3"/>
  <c r="I542" i="3"/>
  <c r="W542" i="3" s="1"/>
  <c r="J542" i="3"/>
  <c r="M542" i="3"/>
  <c r="N542" i="3" s="1"/>
  <c r="T543" i="3" l="1"/>
  <c r="L542" i="3"/>
  <c r="AH543" i="3" l="1"/>
  <c r="U542" i="3"/>
  <c r="E543" i="3" s="1"/>
  <c r="H543" i="3" s="1"/>
  <c r="AG543" i="3"/>
  <c r="Y541" i="3"/>
  <c r="D543" i="3" l="1"/>
  <c r="G543" i="3" s="1"/>
  <c r="K543" i="3"/>
  <c r="AE543" i="3" s="1"/>
  <c r="F543" i="3" l="1"/>
  <c r="I543" i="3"/>
  <c r="J543" i="3"/>
  <c r="M543" i="3"/>
  <c r="N543" i="3" s="1"/>
  <c r="V543" i="3"/>
  <c r="A544" i="3"/>
  <c r="B544" i="3" s="1"/>
  <c r="W543" i="3" l="1"/>
  <c r="L543" i="3"/>
  <c r="P544" i="3"/>
  <c r="Q544" i="3" s="1"/>
  <c r="R544" i="3" s="1"/>
  <c r="S544" i="3" s="1"/>
  <c r="Z544" i="3"/>
  <c r="AC544" i="3"/>
  <c r="AA544" i="3"/>
  <c r="U543" i="3" l="1"/>
  <c r="Y542" i="3"/>
  <c r="T544" i="3"/>
  <c r="AG544" i="3" s="1"/>
  <c r="E544" i="3" l="1"/>
  <c r="H544" i="3" s="1"/>
  <c r="D544" i="3"/>
  <c r="AH544" i="3"/>
  <c r="K544" i="3" l="1"/>
  <c r="AE544" i="3" s="1"/>
  <c r="F544" i="3"/>
  <c r="G544" i="3"/>
  <c r="I544" i="3" l="1"/>
  <c r="J544" i="3"/>
  <c r="AD544" i="3" s="1"/>
  <c r="M544" i="3"/>
  <c r="N544" i="3" s="1"/>
  <c r="V544" i="3"/>
  <c r="A545" i="3"/>
  <c r="B545" i="3" s="1"/>
  <c r="W544" i="3" l="1"/>
  <c r="L544" i="3"/>
  <c r="Z545" i="3"/>
  <c r="AA545" i="3"/>
  <c r="AD545" i="3"/>
  <c r="AC545" i="3"/>
  <c r="P545" i="3"/>
  <c r="Q545" i="3" s="1"/>
  <c r="R545" i="3" s="1"/>
  <c r="S545" i="3" s="1"/>
  <c r="U544" i="3" l="1"/>
  <c r="Y543" i="3"/>
  <c r="T545" i="3"/>
  <c r="AH545" i="3" s="1"/>
  <c r="E545" i="3" l="1"/>
  <c r="H545" i="3" s="1"/>
  <c r="K545" i="3" s="1"/>
  <c r="AE545" i="3" s="1"/>
  <c r="D545" i="3"/>
  <c r="AG545" i="3"/>
  <c r="V545" i="3" l="1"/>
  <c r="A546" i="3"/>
  <c r="B546" i="3" s="1"/>
  <c r="F545" i="3"/>
  <c r="G545" i="3"/>
  <c r="I545" i="3" l="1"/>
  <c r="W545" i="3" s="1"/>
  <c r="J545" i="3"/>
  <c r="M545" i="3"/>
  <c r="N545" i="3" s="1"/>
  <c r="AC546" i="3"/>
  <c r="P546" i="3"/>
  <c r="Q546" i="3" s="1"/>
  <c r="R546" i="3" s="1"/>
  <c r="S546" i="3" s="1"/>
  <c r="Z546" i="3"/>
  <c r="AA546" i="3"/>
  <c r="AD546" i="3"/>
  <c r="T546" i="3" l="1"/>
  <c r="L545" i="3"/>
  <c r="U545" i="3" l="1"/>
  <c r="D546" i="3" s="1"/>
  <c r="AG546" i="3"/>
  <c r="AH546" i="3"/>
  <c r="Y544" i="3"/>
  <c r="E546" i="3" l="1"/>
  <c r="H546" i="3" s="1"/>
  <c r="K546" i="3" s="1"/>
  <c r="AE546" i="3" s="1"/>
  <c r="G546" i="3"/>
  <c r="F546" i="3" l="1"/>
  <c r="V546" i="3"/>
  <c r="A547" i="3"/>
  <c r="B547" i="3" s="1"/>
  <c r="I546" i="3"/>
  <c r="J546" i="3"/>
  <c r="M546" i="3"/>
  <c r="N546" i="3" s="1"/>
  <c r="W546" i="3" l="1"/>
  <c r="L546" i="3"/>
  <c r="AC547" i="3"/>
  <c r="AD547" i="3"/>
  <c r="P547" i="3"/>
  <c r="Q547" i="3" s="1"/>
  <c r="R547" i="3" s="1"/>
  <c r="S547" i="3" s="1"/>
  <c r="AA547" i="3"/>
  <c r="Z547" i="3"/>
  <c r="U546" i="3" l="1"/>
  <c r="Y545" i="3"/>
  <c r="T547" i="3"/>
  <c r="AG547" i="3" s="1"/>
  <c r="E547" i="3" l="1"/>
  <c r="H547" i="3" s="1"/>
  <c r="K547" i="3" s="1"/>
  <c r="AE547" i="3" s="1"/>
  <c r="D547" i="3"/>
  <c r="G547" i="3" s="1"/>
  <c r="AH547" i="3"/>
  <c r="F547" i="3" l="1"/>
  <c r="I547" i="3"/>
  <c r="J547" i="3"/>
  <c r="M547" i="3"/>
  <c r="N547" i="3" s="1"/>
  <c r="V547" i="3"/>
  <c r="A548" i="3"/>
  <c r="B548" i="3" s="1"/>
  <c r="W547" i="3" l="1"/>
  <c r="L547" i="3"/>
  <c r="Z548" i="3"/>
  <c r="AA548" i="3"/>
  <c r="P548" i="3"/>
  <c r="Q548" i="3" s="1"/>
  <c r="R548" i="3" s="1"/>
  <c r="S548" i="3" s="1"/>
  <c r="AC548" i="3"/>
  <c r="AD548" i="3"/>
  <c r="U547" i="3" l="1"/>
  <c r="Y546" i="3"/>
  <c r="T548" i="3"/>
  <c r="E548" i="3" l="1"/>
  <c r="H548" i="3" s="1"/>
  <c r="K548" i="3" s="1"/>
  <c r="AE548" i="3" s="1"/>
  <c r="D548" i="3"/>
  <c r="AG548" i="3"/>
  <c r="AH548" i="3"/>
  <c r="V548" i="3" l="1"/>
  <c r="A549" i="3"/>
  <c r="B549" i="3" s="1"/>
  <c r="F548" i="3"/>
  <c r="G548" i="3"/>
  <c r="I548" i="3" l="1"/>
  <c r="W548" i="3" s="1"/>
  <c r="J548" i="3"/>
  <c r="M548" i="3"/>
  <c r="N548" i="3" s="1"/>
  <c r="P549" i="3"/>
  <c r="Q549" i="3" s="1"/>
  <c r="R549" i="3" s="1"/>
  <c r="S549" i="3" s="1"/>
  <c r="AC549" i="3"/>
  <c r="AA549" i="3"/>
  <c r="Z549" i="3"/>
  <c r="AD549" i="3"/>
  <c r="T549" i="3" l="1"/>
  <c r="L548" i="3"/>
  <c r="AH549" i="3" l="1"/>
  <c r="U548" i="3"/>
  <c r="E549" i="3" s="1"/>
  <c r="H549" i="3" s="1"/>
  <c r="AG549" i="3"/>
  <c r="Y547" i="3"/>
  <c r="K549" i="3" l="1"/>
  <c r="AE549" i="3" s="1"/>
  <c r="D549" i="3"/>
  <c r="V549" i="3" l="1"/>
  <c r="A550" i="3"/>
  <c r="B550" i="3" s="1"/>
  <c r="F549" i="3"/>
  <c r="G549" i="3"/>
  <c r="I549" i="3" l="1"/>
  <c r="W549" i="3" s="1"/>
  <c r="J549" i="3"/>
  <c r="M549" i="3"/>
  <c r="N549" i="3" s="1"/>
  <c r="P550" i="3"/>
  <c r="Q550" i="3" s="1"/>
  <c r="R550" i="3" s="1"/>
  <c r="S550" i="3" s="1"/>
  <c r="AA550" i="3"/>
  <c r="AC550" i="3"/>
  <c r="Z550" i="3"/>
  <c r="AD550" i="3"/>
  <c r="T550" i="3" l="1"/>
  <c r="L549" i="3"/>
  <c r="U549" i="3" l="1"/>
  <c r="D550" i="3" s="1"/>
  <c r="AH550" i="3"/>
  <c r="AG550" i="3"/>
  <c r="Y548" i="3"/>
  <c r="E550" i="3" l="1"/>
  <c r="H550" i="3" s="1"/>
  <c r="K550" i="3" s="1"/>
  <c r="AE550" i="3" s="1"/>
  <c r="G550" i="3"/>
  <c r="F550" i="3" l="1"/>
  <c r="I550" i="3"/>
  <c r="J550" i="3"/>
  <c r="M550" i="3"/>
  <c r="N550" i="3" s="1"/>
  <c r="V550" i="3"/>
  <c r="A551" i="3"/>
  <c r="B551" i="3" s="1"/>
  <c r="W550" i="3" l="1"/>
  <c r="L550" i="3"/>
  <c r="AD551" i="3"/>
  <c r="P551" i="3"/>
  <c r="Q551" i="3" s="1"/>
  <c r="R551" i="3" s="1"/>
  <c r="S551" i="3" s="1"/>
  <c r="AC551" i="3"/>
  <c r="AA551" i="3"/>
  <c r="Z551" i="3"/>
  <c r="T551" i="3" l="1"/>
  <c r="AG551" i="3" s="1"/>
  <c r="U550" i="3"/>
  <c r="Y549" i="3"/>
  <c r="D551" i="3" l="1"/>
  <c r="G551" i="3" s="1"/>
  <c r="AH551" i="3"/>
  <c r="E551" i="3"/>
  <c r="H551" i="3" s="1"/>
  <c r="F551" i="3" l="1"/>
  <c r="I551" i="3"/>
  <c r="J551" i="3"/>
  <c r="M551" i="3"/>
  <c r="N551" i="3" s="1"/>
  <c r="K551" i="3"/>
  <c r="AE551" i="3" s="1"/>
  <c r="V551" i="3" l="1"/>
  <c r="W551" i="3" s="1"/>
  <c r="A552" i="3"/>
  <c r="B552" i="3" s="1"/>
  <c r="L551" i="3"/>
  <c r="U551" i="3" l="1"/>
  <c r="Y550" i="3"/>
  <c r="AA552" i="3"/>
  <c r="P552" i="3"/>
  <c r="Q552" i="3" s="1"/>
  <c r="R552" i="3" s="1"/>
  <c r="S552" i="3" s="1"/>
  <c r="AC552" i="3"/>
  <c r="Z552" i="3"/>
  <c r="AD552" i="3"/>
  <c r="T552" i="3" l="1"/>
  <c r="D552" i="3" s="1"/>
  <c r="AG552" i="3" l="1"/>
  <c r="AH552" i="3"/>
  <c r="E552" i="3"/>
  <c r="H552" i="3" s="1"/>
  <c r="K552" i="3" s="1"/>
  <c r="AE552" i="3" s="1"/>
  <c r="G552" i="3"/>
  <c r="F552" i="3" l="1"/>
  <c r="I552" i="3"/>
  <c r="J552" i="3"/>
  <c r="M552" i="3"/>
  <c r="N552" i="3" s="1"/>
  <c r="V552" i="3"/>
  <c r="A553" i="3"/>
  <c r="B553" i="3" s="1"/>
  <c r="W552" i="3" l="1"/>
  <c r="L552" i="3"/>
  <c r="P553" i="3"/>
  <c r="Q553" i="3" s="1"/>
  <c r="R553" i="3" s="1"/>
  <c r="S553" i="3" s="1"/>
  <c r="Z553" i="3"/>
  <c r="AC553" i="3"/>
  <c r="AA553" i="3"/>
  <c r="AD553" i="3"/>
  <c r="T553" i="3" l="1"/>
  <c r="U552" i="3"/>
  <c r="Y551" i="3"/>
  <c r="D553" i="3" l="1"/>
  <c r="G553" i="3" s="1"/>
  <c r="AH553" i="3"/>
  <c r="AG553" i="3"/>
  <c r="E553" i="3"/>
  <c r="H553" i="3" s="1"/>
  <c r="K553" i="3" l="1"/>
  <c r="AE553" i="3" s="1"/>
  <c r="F553" i="3"/>
  <c r="I553" i="3"/>
  <c r="J553" i="3"/>
  <c r="M553" i="3"/>
  <c r="N553" i="3" s="1"/>
  <c r="V553" i="3" l="1"/>
  <c r="W553" i="3" s="1"/>
  <c r="A554" i="3"/>
  <c r="B554" i="3" s="1"/>
  <c r="L553" i="3"/>
  <c r="U553" i="3" l="1"/>
  <c r="Y552" i="3"/>
  <c r="AA554" i="3"/>
  <c r="AC554" i="3"/>
  <c r="P554" i="3"/>
  <c r="Q554" i="3" s="1"/>
  <c r="R554" i="3" s="1"/>
  <c r="S554" i="3" s="1"/>
  <c r="Z554" i="3"/>
  <c r="T554" i="3" l="1"/>
  <c r="AH554" i="3" s="1"/>
  <c r="E554" i="3" l="1"/>
  <c r="H554" i="3" s="1"/>
  <c r="K554" i="3" s="1"/>
  <c r="AE554" i="3" s="1"/>
  <c r="AG554" i="3"/>
  <c r="D554" i="3"/>
  <c r="V554" i="3" l="1"/>
  <c r="A555" i="3"/>
  <c r="B555" i="3" s="1"/>
  <c r="F554" i="3"/>
  <c r="G554" i="3"/>
  <c r="I554" i="3" l="1"/>
  <c r="W554" i="3" s="1"/>
  <c r="J554" i="3"/>
  <c r="AD554" i="3" s="1"/>
  <c r="M554" i="3"/>
  <c r="N554" i="3" s="1"/>
  <c r="AA555" i="3"/>
  <c r="Z555" i="3"/>
  <c r="AC555" i="3"/>
  <c r="P555" i="3"/>
  <c r="Q555" i="3" s="1"/>
  <c r="R555" i="3" s="1"/>
  <c r="S555" i="3" s="1"/>
  <c r="AD555" i="3"/>
  <c r="L554" i="3" l="1"/>
  <c r="T555" i="3"/>
  <c r="U554" i="3" l="1"/>
  <c r="E555" i="3" s="1"/>
  <c r="H555" i="3" s="1"/>
  <c r="AG555" i="3"/>
  <c r="AH555" i="3"/>
  <c r="Y553" i="3"/>
  <c r="K555" i="3" l="1"/>
  <c r="AE555" i="3" s="1"/>
  <c r="D555" i="3"/>
  <c r="F555" i="3" l="1"/>
  <c r="G555" i="3"/>
  <c r="V555" i="3"/>
  <c r="A556" i="3"/>
  <c r="B556" i="3" s="1"/>
  <c r="P556" i="3" l="1"/>
  <c r="Q556" i="3" s="1"/>
  <c r="R556" i="3" s="1"/>
  <c r="S556" i="3" s="1"/>
  <c r="AA556" i="3"/>
  <c r="AD556" i="3"/>
  <c r="Z556" i="3"/>
  <c r="AC556" i="3"/>
  <c r="I555" i="3"/>
  <c r="W555" i="3" s="1"/>
  <c r="J555" i="3"/>
  <c r="M555" i="3"/>
  <c r="N555" i="3" s="1"/>
  <c r="T556" i="3" l="1"/>
  <c r="L555" i="3"/>
  <c r="AH556" i="3" l="1"/>
  <c r="U555" i="3"/>
  <c r="D556" i="3" s="1"/>
  <c r="AG556" i="3"/>
  <c r="Y554" i="3"/>
  <c r="E556" i="3" l="1"/>
  <c r="H556" i="3" s="1"/>
  <c r="K556" i="3" s="1"/>
  <c r="AE556" i="3" s="1"/>
  <c r="G556" i="3"/>
  <c r="F556" i="3" l="1"/>
  <c r="I556" i="3"/>
  <c r="J556" i="3"/>
  <c r="M556" i="3"/>
  <c r="N556" i="3" s="1"/>
  <c r="V556" i="3"/>
  <c r="A557" i="3"/>
  <c r="B557" i="3" s="1"/>
  <c r="W556" i="3" l="1"/>
  <c r="L556" i="3"/>
  <c r="AD557" i="3"/>
  <c r="P557" i="3"/>
  <c r="Q557" i="3" s="1"/>
  <c r="R557" i="3" s="1"/>
  <c r="S557" i="3" s="1"/>
  <c r="AA557" i="3"/>
  <c r="AC557" i="3"/>
  <c r="Z557" i="3"/>
  <c r="U556" i="3" l="1"/>
  <c r="Y555" i="3"/>
  <c r="T557" i="3"/>
  <c r="AH557" i="3" s="1"/>
  <c r="D557" i="3" l="1"/>
  <c r="G557" i="3" s="1"/>
  <c r="AG557" i="3"/>
  <c r="E557" i="3"/>
  <c r="H557" i="3" s="1"/>
  <c r="K557" i="3" s="1"/>
  <c r="AE557" i="3" s="1"/>
  <c r="F557" i="3" l="1"/>
  <c r="I557" i="3"/>
  <c r="J557" i="3"/>
  <c r="M557" i="3"/>
  <c r="N557" i="3" s="1"/>
  <c r="V557" i="3"/>
  <c r="A558" i="3"/>
  <c r="B558" i="3" s="1"/>
  <c r="W557" i="3" l="1"/>
  <c r="L557" i="3"/>
  <c r="AA558" i="3"/>
  <c r="AD558" i="3"/>
  <c r="P558" i="3"/>
  <c r="Q558" i="3" s="1"/>
  <c r="R558" i="3" s="1"/>
  <c r="S558" i="3" s="1"/>
  <c r="Z558" i="3"/>
  <c r="AC558" i="3"/>
  <c r="T558" i="3" l="1"/>
  <c r="AG558" i="3" s="1"/>
  <c r="U557" i="3"/>
  <c r="Y556" i="3"/>
  <c r="E558" i="3" l="1"/>
  <c r="H558" i="3" s="1"/>
  <c r="AH558" i="3"/>
  <c r="D558" i="3"/>
  <c r="F558" i="3" l="1"/>
  <c r="G558" i="3"/>
  <c r="K558" i="3"/>
  <c r="AE558" i="3" s="1"/>
  <c r="I558" i="3" l="1"/>
  <c r="J558" i="3"/>
  <c r="M558" i="3"/>
  <c r="N558" i="3" s="1"/>
  <c r="V558" i="3"/>
  <c r="A559" i="3"/>
  <c r="B559" i="3" s="1"/>
  <c r="W558" i="3" l="1"/>
  <c r="L558" i="3"/>
  <c r="AC559" i="3"/>
  <c r="P559" i="3"/>
  <c r="Q559" i="3" s="1"/>
  <c r="R559" i="3" s="1"/>
  <c r="S559" i="3" s="1"/>
  <c r="AA559" i="3"/>
  <c r="Z559" i="3"/>
  <c r="AD559" i="3"/>
  <c r="T559" i="3" l="1"/>
  <c r="U558" i="3"/>
  <c r="Y557" i="3"/>
  <c r="E559" i="3" l="1"/>
  <c r="H559" i="3" s="1"/>
  <c r="K559" i="3" s="1"/>
  <c r="AE559" i="3" s="1"/>
  <c r="AH559" i="3"/>
  <c r="AG559" i="3"/>
  <c r="D559" i="3"/>
  <c r="V559" i="3" l="1"/>
  <c r="A560" i="3"/>
  <c r="B560" i="3" s="1"/>
  <c r="F559" i="3"/>
  <c r="G559" i="3"/>
  <c r="I559" i="3" l="1"/>
  <c r="W559" i="3" s="1"/>
  <c r="J559" i="3"/>
  <c r="M559" i="3"/>
  <c r="N559" i="3" s="1"/>
  <c r="AD560" i="3"/>
  <c r="Z560" i="3"/>
  <c r="AC560" i="3"/>
  <c r="AA560" i="3"/>
  <c r="P560" i="3"/>
  <c r="Q560" i="3" s="1"/>
  <c r="R560" i="3" s="1"/>
  <c r="S560" i="3" s="1"/>
  <c r="T560" i="3" l="1"/>
  <c r="L559" i="3"/>
  <c r="AG560" i="3" l="1"/>
  <c r="U559" i="3"/>
  <c r="D560" i="3" s="1"/>
  <c r="AH560" i="3"/>
  <c r="Y558" i="3"/>
  <c r="E560" i="3" l="1"/>
  <c r="H560" i="3" s="1"/>
  <c r="K560" i="3" s="1"/>
  <c r="AE560" i="3" s="1"/>
  <c r="G560" i="3"/>
  <c r="F560" i="3" l="1"/>
  <c r="V560" i="3"/>
  <c r="A561" i="3"/>
  <c r="B561" i="3" s="1"/>
  <c r="I560" i="3"/>
  <c r="J560" i="3"/>
  <c r="M560" i="3"/>
  <c r="N560" i="3" s="1"/>
  <c r="W560" i="3" l="1"/>
  <c r="L560" i="3"/>
  <c r="AA561" i="3"/>
  <c r="P561" i="3"/>
  <c r="Q561" i="3" s="1"/>
  <c r="R561" i="3" s="1"/>
  <c r="S561" i="3" s="1"/>
  <c r="Z561" i="3"/>
  <c r="AD561" i="3"/>
  <c r="AC561" i="3"/>
  <c r="U560" i="3" l="1"/>
  <c r="Y559" i="3"/>
  <c r="T561" i="3"/>
  <c r="E561" i="3" l="1"/>
  <c r="H561" i="3" s="1"/>
  <c r="K561" i="3" s="1"/>
  <c r="AE561" i="3" s="1"/>
  <c r="D561" i="3"/>
  <c r="AH561" i="3"/>
  <c r="AG561" i="3"/>
  <c r="F561" i="3" l="1"/>
  <c r="G561" i="3"/>
  <c r="M561" i="3" s="1"/>
  <c r="N561" i="3" s="1"/>
  <c r="V561" i="3"/>
  <c r="A562" i="3"/>
  <c r="B562" i="3" s="1"/>
  <c r="I561" i="3" l="1"/>
  <c r="W561" i="3" s="1"/>
  <c r="J561" i="3"/>
  <c r="L561" i="3" s="1"/>
  <c r="Z562" i="3"/>
  <c r="AA562" i="3"/>
  <c r="AD562" i="3"/>
  <c r="P562" i="3"/>
  <c r="Q562" i="3" s="1"/>
  <c r="R562" i="3" s="1"/>
  <c r="S562" i="3" s="1"/>
  <c r="AC562" i="3"/>
  <c r="U561" i="3" l="1"/>
  <c r="Y560" i="3"/>
  <c r="T562" i="3"/>
  <c r="AH562" i="3" s="1"/>
  <c r="AG562" i="3" l="1"/>
  <c r="E562" i="3"/>
  <c r="H562" i="3" s="1"/>
  <c r="K562" i="3" s="1"/>
  <c r="AE562" i="3" s="1"/>
  <c r="D562" i="3"/>
  <c r="F562" i="3" l="1"/>
  <c r="G562" i="3"/>
  <c r="J562" i="3" s="1"/>
  <c r="V562" i="3"/>
  <c r="A563" i="3"/>
  <c r="B563" i="3" s="1"/>
  <c r="M562" i="3" l="1"/>
  <c r="N562" i="3" s="1"/>
  <c r="I562" i="3"/>
  <c r="W562" i="3" s="1"/>
  <c r="L562" i="3"/>
  <c r="Z563" i="3"/>
  <c r="P563" i="3"/>
  <c r="Q563" i="3" s="1"/>
  <c r="R563" i="3" s="1"/>
  <c r="S563" i="3" s="1"/>
  <c r="AC563" i="3"/>
  <c r="AA563" i="3"/>
  <c r="AD563" i="3"/>
  <c r="U562" i="3" l="1"/>
  <c r="Y561" i="3"/>
  <c r="T563" i="3"/>
  <c r="AH563" i="3" s="1"/>
  <c r="AG563" i="3" l="1"/>
  <c r="D563" i="3"/>
  <c r="E563" i="3"/>
  <c r="H563" i="3" s="1"/>
  <c r="K563" i="3" s="1"/>
  <c r="AE563" i="3" s="1"/>
  <c r="F563" i="3" l="1"/>
  <c r="G563" i="3"/>
  <c r="M563" i="3" s="1"/>
  <c r="N563" i="3" s="1"/>
  <c r="V563" i="3"/>
  <c r="A564" i="3"/>
  <c r="B564" i="3" s="1"/>
  <c r="I563" i="3" l="1"/>
  <c r="W563" i="3" s="1"/>
  <c r="J563" i="3"/>
  <c r="L563" i="3" s="1"/>
  <c r="Z564" i="3"/>
  <c r="P564" i="3"/>
  <c r="Q564" i="3" s="1"/>
  <c r="R564" i="3" s="1"/>
  <c r="S564" i="3" s="1"/>
  <c r="AC564" i="3"/>
  <c r="AA564" i="3"/>
  <c r="U563" i="3" l="1"/>
  <c r="Y562" i="3"/>
  <c r="T564" i="3"/>
  <c r="AH564" i="3" s="1"/>
  <c r="D564" i="3" l="1"/>
  <c r="E564" i="3"/>
  <c r="H564" i="3" s="1"/>
  <c r="AG564" i="3"/>
  <c r="K564" i="3" l="1"/>
  <c r="AE564" i="3" s="1"/>
  <c r="F564" i="3"/>
  <c r="G564" i="3"/>
  <c r="V564" i="3" l="1"/>
  <c r="A565" i="3"/>
  <c r="B565" i="3" s="1"/>
  <c r="I564" i="3"/>
  <c r="J564" i="3"/>
  <c r="AD564" i="3" s="1"/>
  <c r="M564" i="3"/>
  <c r="N564" i="3" s="1"/>
  <c r="W564" i="3" l="1"/>
  <c r="L564" i="3"/>
  <c r="Z565" i="3"/>
  <c r="AC565" i="3"/>
  <c r="P565" i="3"/>
  <c r="Q565" i="3" s="1"/>
  <c r="R565" i="3" s="1"/>
  <c r="S565" i="3" s="1"/>
  <c r="AA565" i="3"/>
  <c r="AD565" i="3"/>
  <c r="U564" i="3" l="1"/>
  <c r="Y563" i="3"/>
  <c r="T565" i="3"/>
  <c r="E565" i="3" l="1"/>
  <c r="H565" i="3" s="1"/>
  <c r="K565" i="3" s="1"/>
  <c r="AE565" i="3" s="1"/>
  <c r="D565" i="3"/>
  <c r="AG565" i="3"/>
  <c r="AH565" i="3"/>
  <c r="V565" i="3" l="1"/>
  <c r="A566" i="3"/>
  <c r="B566" i="3" s="1"/>
  <c r="F565" i="3"/>
  <c r="G565" i="3"/>
  <c r="I565" i="3" l="1"/>
  <c r="W565" i="3" s="1"/>
  <c r="J565" i="3"/>
  <c r="M565" i="3"/>
  <c r="N565" i="3" s="1"/>
  <c r="AD566" i="3"/>
  <c r="Z566" i="3"/>
  <c r="AA566" i="3"/>
  <c r="P566" i="3"/>
  <c r="Q566" i="3" s="1"/>
  <c r="R566" i="3" s="1"/>
  <c r="S566" i="3" s="1"/>
  <c r="AC566" i="3"/>
  <c r="L565" i="3" l="1"/>
  <c r="T566" i="3"/>
  <c r="AG566" i="3" l="1"/>
  <c r="AH566" i="3"/>
  <c r="U565" i="3"/>
  <c r="D566" i="3" s="1"/>
  <c r="Y564" i="3"/>
  <c r="G566" i="3" l="1"/>
  <c r="E566" i="3"/>
  <c r="H566" i="3" s="1"/>
  <c r="F566" i="3" l="1"/>
  <c r="I566" i="3"/>
  <c r="J566" i="3"/>
  <c r="M566" i="3"/>
  <c r="N566" i="3" s="1"/>
  <c r="K566" i="3"/>
  <c r="AE566" i="3" s="1"/>
  <c r="V566" i="3" l="1"/>
  <c r="W566" i="3" s="1"/>
  <c r="A567" i="3"/>
  <c r="B567" i="3" s="1"/>
  <c r="L566" i="3"/>
  <c r="U566" i="3" l="1"/>
  <c r="Y565" i="3"/>
  <c r="P567" i="3"/>
  <c r="Q567" i="3" s="1"/>
  <c r="R567" i="3" s="1"/>
  <c r="S567" i="3" s="1"/>
  <c r="AA567" i="3"/>
  <c r="AD567" i="3"/>
  <c r="Z567" i="3"/>
  <c r="AC567" i="3"/>
  <c r="T567" i="3" l="1"/>
  <c r="AG567" i="3" s="1"/>
  <c r="AH567" i="3" l="1"/>
  <c r="E567" i="3"/>
  <c r="H567" i="3" s="1"/>
  <c r="K567" i="3" s="1"/>
  <c r="AE567" i="3" s="1"/>
  <c r="D567" i="3"/>
  <c r="G567" i="3" s="1"/>
  <c r="F567" i="3" l="1"/>
  <c r="I567" i="3"/>
  <c r="J567" i="3"/>
  <c r="M567" i="3"/>
  <c r="N567" i="3" s="1"/>
  <c r="V567" i="3"/>
  <c r="A568" i="3"/>
  <c r="B568" i="3" s="1"/>
  <c r="W567" i="3" l="1"/>
  <c r="L567" i="3"/>
  <c r="AC568" i="3"/>
  <c r="AD568" i="3"/>
  <c r="P568" i="3"/>
  <c r="Q568" i="3" s="1"/>
  <c r="R568" i="3" s="1"/>
  <c r="S568" i="3" s="1"/>
  <c r="AA568" i="3"/>
  <c r="Z568" i="3"/>
  <c r="U567" i="3" l="1"/>
  <c r="Y566" i="3"/>
  <c r="T568" i="3"/>
  <c r="AG568" i="3" s="1"/>
  <c r="D568" i="3" l="1"/>
  <c r="G568" i="3" s="1"/>
  <c r="E568" i="3"/>
  <c r="H568" i="3" s="1"/>
  <c r="K568" i="3" s="1"/>
  <c r="AE568" i="3" s="1"/>
  <c r="AH568" i="3"/>
  <c r="F568" i="3" l="1"/>
  <c r="V568" i="3"/>
  <c r="A569" i="3"/>
  <c r="B569" i="3" s="1"/>
  <c r="I568" i="3"/>
  <c r="J568" i="3"/>
  <c r="M568" i="3"/>
  <c r="N568" i="3" s="1"/>
  <c r="L568" i="3" l="1"/>
  <c r="W568" i="3"/>
  <c r="AA569" i="3"/>
  <c r="AD569" i="3"/>
  <c r="P569" i="3"/>
  <c r="Q569" i="3" s="1"/>
  <c r="R569" i="3" s="1"/>
  <c r="S569" i="3" s="1"/>
  <c r="AC569" i="3"/>
  <c r="Z569" i="3"/>
  <c r="T569" i="3" l="1"/>
  <c r="AH569" i="3" s="1"/>
  <c r="U568" i="3"/>
  <c r="Y567" i="3"/>
  <c r="D569" i="3" l="1"/>
  <c r="G569" i="3" s="1"/>
  <c r="AG569" i="3"/>
  <c r="E569" i="3"/>
  <c r="H569" i="3" s="1"/>
  <c r="F569" i="3" l="1"/>
  <c r="I569" i="3"/>
  <c r="J569" i="3"/>
  <c r="M569" i="3"/>
  <c r="N569" i="3" s="1"/>
  <c r="K569" i="3"/>
  <c r="AE569" i="3" s="1"/>
  <c r="L569" i="3" l="1"/>
  <c r="V569" i="3"/>
  <c r="W569" i="3" s="1"/>
  <c r="A570" i="3"/>
  <c r="B570" i="3" s="1"/>
  <c r="AC570" i="3" l="1"/>
  <c r="P570" i="3"/>
  <c r="Q570" i="3" s="1"/>
  <c r="R570" i="3" s="1"/>
  <c r="S570" i="3" s="1"/>
  <c r="AD570" i="3"/>
  <c r="Z570" i="3"/>
  <c r="AA570" i="3"/>
  <c r="U569" i="3"/>
  <c r="Y568" i="3"/>
  <c r="T570" i="3" l="1"/>
  <c r="D570" i="3" l="1"/>
  <c r="E570" i="3"/>
  <c r="H570" i="3" s="1"/>
  <c r="AG570" i="3"/>
  <c r="AH570" i="3"/>
  <c r="F570" i="3" l="1"/>
  <c r="G570" i="3"/>
  <c r="K570" i="3"/>
  <c r="AE570" i="3" s="1"/>
  <c r="V570" i="3" l="1"/>
  <c r="A571" i="3"/>
  <c r="B571" i="3" s="1"/>
  <c r="I570" i="3"/>
  <c r="J570" i="3"/>
  <c r="M570" i="3"/>
  <c r="N570" i="3" s="1"/>
  <c r="W570" i="3" l="1"/>
  <c r="L570" i="3"/>
  <c r="P571" i="3"/>
  <c r="Q571" i="3" s="1"/>
  <c r="R571" i="3" s="1"/>
  <c r="S571" i="3" s="1"/>
  <c r="AD571" i="3"/>
  <c r="AA571" i="3"/>
  <c r="Z571" i="3"/>
  <c r="AC571" i="3"/>
  <c r="U570" i="3" l="1"/>
  <c r="Y569" i="3"/>
  <c r="T571" i="3"/>
  <c r="D571" i="3" l="1"/>
  <c r="G571" i="3" s="1"/>
  <c r="AG571" i="3"/>
  <c r="AH571" i="3"/>
  <c r="E571" i="3"/>
  <c r="H571" i="3" s="1"/>
  <c r="K571" i="3" s="1"/>
  <c r="AE571" i="3" s="1"/>
  <c r="F571" i="3" l="1"/>
  <c r="V571" i="3"/>
  <c r="A572" i="3"/>
  <c r="B572" i="3" s="1"/>
  <c r="I571" i="3"/>
  <c r="J571" i="3"/>
  <c r="M571" i="3"/>
  <c r="N571" i="3" s="1"/>
  <c r="W571" i="3" l="1"/>
  <c r="L571" i="3"/>
  <c r="AC572" i="3"/>
  <c r="AD572" i="3"/>
  <c r="P572" i="3"/>
  <c r="Q572" i="3" s="1"/>
  <c r="R572" i="3" s="1"/>
  <c r="S572" i="3" s="1"/>
  <c r="AA572" i="3"/>
  <c r="Z572" i="3"/>
  <c r="T572" i="3" l="1"/>
  <c r="AH572" i="3" s="1"/>
  <c r="U571" i="3"/>
  <c r="Y570" i="3"/>
  <c r="E572" i="3" l="1"/>
  <c r="H572" i="3" s="1"/>
  <c r="AG572" i="3"/>
  <c r="D572" i="3"/>
  <c r="F572" i="3" l="1"/>
  <c r="G572" i="3"/>
  <c r="K572" i="3"/>
  <c r="AE572" i="3" s="1"/>
  <c r="V572" i="3" l="1"/>
  <c r="A573" i="3"/>
  <c r="B573" i="3" s="1"/>
  <c r="I572" i="3"/>
  <c r="J572" i="3"/>
  <c r="M572" i="3"/>
  <c r="N572" i="3" s="1"/>
  <c r="W572" i="3" l="1"/>
  <c r="L572" i="3"/>
  <c r="P573" i="3"/>
  <c r="Q573" i="3" s="1"/>
  <c r="R573" i="3" s="1"/>
  <c r="S573" i="3" s="1"/>
  <c r="Z573" i="3"/>
  <c r="AC573" i="3"/>
  <c r="AA573" i="3"/>
  <c r="AD573" i="3"/>
  <c r="U572" i="3" l="1"/>
  <c r="Y571" i="3"/>
  <c r="T573" i="3"/>
  <c r="E573" i="3" l="1"/>
  <c r="H573" i="3" s="1"/>
  <c r="K573" i="3" s="1"/>
  <c r="AE573" i="3" s="1"/>
  <c r="D573" i="3"/>
  <c r="AH573" i="3"/>
  <c r="AG573" i="3"/>
  <c r="F573" i="3" l="1"/>
  <c r="G573" i="3"/>
  <c r="I573" i="3" s="1"/>
  <c r="V573" i="3"/>
  <c r="A574" i="3"/>
  <c r="B574" i="3" s="1"/>
  <c r="J573" i="3" l="1"/>
  <c r="L573" i="3" s="1"/>
  <c r="M573" i="3"/>
  <c r="N573" i="3" s="1"/>
  <c r="W573" i="3"/>
  <c r="AA574" i="3"/>
  <c r="Z574" i="3"/>
  <c r="P574" i="3"/>
  <c r="Q574" i="3" s="1"/>
  <c r="R574" i="3" s="1"/>
  <c r="S574" i="3" s="1"/>
  <c r="AC574" i="3"/>
  <c r="U573" i="3" l="1"/>
  <c r="Y572" i="3"/>
  <c r="T574" i="3"/>
  <c r="AH574" i="3" s="1"/>
  <c r="D574" i="3" l="1"/>
  <c r="G574" i="3" s="1"/>
  <c r="AG574" i="3"/>
  <c r="E574" i="3"/>
  <c r="H574" i="3" s="1"/>
  <c r="K574" i="3" l="1"/>
  <c r="AE574" i="3" s="1"/>
  <c r="I574" i="3"/>
  <c r="J574" i="3"/>
  <c r="AD574" i="3" s="1"/>
  <c r="M574" i="3"/>
  <c r="N574" i="3" s="1"/>
  <c r="F574" i="3"/>
  <c r="V574" i="3" l="1"/>
  <c r="W574" i="3" s="1"/>
  <c r="A575" i="3"/>
  <c r="B575" i="3" s="1"/>
  <c r="L574" i="3"/>
  <c r="U574" i="3" l="1"/>
  <c r="Y573" i="3"/>
  <c r="P575" i="3"/>
  <c r="Q575" i="3" s="1"/>
  <c r="R575" i="3" s="1"/>
  <c r="S575" i="3" s="1"/>
  <c r="Z575" i="3"/>
  <c r="AC575" i="3"/>
  <c r="AA575" i="3"/>
  <c r="AD575" i="3"/>
  <c r="T575" i="3" l="1"/>
  <c r="AH575" i="3" s="1"/>
  <c r="AG575" i="3" l="1"/>
  <c r="E575" i="3"/>
  <c r="H575" i="3" s="1"/>
  <c r="D575" i="3"/>
  <c r="K575" i="3" l="1"/>
  <c r="AE575" i="3" s="1"/>
  <c r="F575" i="3"/>
  <c r="G575" i="3"/>
  <c r="V575" i="3" l="1"/>
  <c r="A576" i="3"/>
  <c r="B576" i="3" s="1"/>
  <c r="I575" i="3"/>
  <c r="J575" i="3"/>
  <c r="M575" i="3"/>
  <c r="N575" i="3" s="1"/>
  <c r="W575" i="3" l="1"/>
  <c r="L575" i="3"/>
  <c r="AA576" i="3"/>
  <c r="P576" i="3"/>
  <c r="Q576" i="3" s="1"/>
  <c r="R576" i="3" s="1"/>
  <c r="S576" i="3" s="1"/>
  <c r="AD576" i="3"/>
  <c r="Z576" i="3"/>
  <c r="AC576" i="3"/>
  <c r="U575" i="3" l="1"/>
  <c r="Y574" i="3"/>
  <c r="T576" i="3"/>
  <c r="E576" i="3" l="1"/>
  <c r="H576" i="3" s="1"/>
  <c r="K576" i="3" s="1"/>
  <c r="AE576" i="3" s="1"/>
  <c r="AH576" i="3"/>
  <c r="D576" i="3"/>
  <c r="G576" i="3" s="1"/>
  <c r="AG576" i="3"/>
  <c r="F576" i="3" l="1"/>
  <c r="V576" i="3"/>
  <c r="A577" i="3"/>
  <c r="B577" i="3" s="1"/>
  <c r="I576" i="3"/>
  <c r="J576" i="3"/>
  <c r="M576" i="3"/>
  <c r="N576" i="3" s="1"/>
  <c r="W576" i="3" l="1"/>
  <c r="L576" i="3"/>
  <c r="P577" i="3"/>
  <c r="Q577" i="3" s="1"/>
  <c r="R577" i="3" s="1"/>
  <c r="S577" i="3" s="1"/>
  <c r="AD577" i="3"/>
  <c r="AC577" i="3"/>
  <c r="AA577" i="3"/>
  <c r="Z577" i="3"/>
  <c r="U576" i="3" l="1"/>
  <c r="Y575" i="3"/>
  <c r="T577" i="3"/>
  <c r="AH577" i="3" s="1"/>
  <c r="E577" i="3" l="1"/>
  <c r="H577" i="3" s="1"/>
  <c r="K577" i="3" s="1"/>
  <c r="AE577" i="3" s="1"/>
  <c r="AG577" i="3"/>
  <c r="D577" i="3"/>
  <c r="F577" i="3" l="1"/>
  <c r="G577" i="3"/>
  <c r="J577" i="3" s="1"/>
  <c r="V577" i="3"/>
  <c r="A578" i="3"/>
  <c r="B578" i="3" s="1"/>
  <c r="M577" i="3" l="1"/>
  <c r="N577" i="3" s="1"/>
  <c r="I577" i="3"/>
  <c r="W577" i="3" s="1"/>
  <c r="L577" i="3"/>
  <c r="AC578" i="3"/>
  <c r="AD578" i="3"/>
  <c r="P578" i="3"/>
  <c r="Q578" i="3" s="1"/>
  <c r="R578" i="3" s="1"/>
  <c r="S578" i="3" s="1"/>
  <c r="Z578" i="3"/>
  <c r="AA578" i="3"/>
  <c r="U577" i="3" l="1"/>
  <c r="Y576" i="3"/>
  <c r="T578" i="3"/>
  <c r="AG578" i="3" s="1"/>
  <c r="D578" i="3" l="1"/>
  <c r="G578" i="3" s="1"/>
  <c r="AH578" i="3"/>
  <c r="E578" i="3"/>
  <c r="H578" i="3" s="1"/>
  <c r="K578" i="3" s="1"/>
  <c r="AE578" i="3" s="1"/>
  <c r="F578" i="3" l="1"/>
  <c r="I578" i="3"/>
  <c r="J578" i="3"/>
  <c r="M578" i="3"/>
  <c r="N578" i="3" s="1"/>
  <c r="V578" i="3"/>
  <c r="A579" i="3"/>
  <c r="B579" i="3" s="1"/>
  <c r="W578" i="3" l="1"/>
  <c r="L578" i="3"/>
  <c r="AC579" i="3"/>
  <c r="Z579" i="3"/>
  <c r="P579" i="3"/>
  <c r="Q579" i="3" s="1"/>
  <c r="R579" i="3" s="1"/>
  <c r="S579" i="3" s="1"/>
  <c r="AD579" i="3"/>
  <c r="AA579" i="3"/>
  <c r="U578" i="3" l="1"/>
  <c r="Y577" i="3"/>
  <c r="T579" i="3"/>
  <c r="AG579" i="3" s="1"/>
  <c r="E579" i="3" l="1"/>
  <c r="H579" i="3" s="1"/>
  <c r="K579" i="3" s="1"/>
  <c r="AE579" i="3" s="1"/>
  <c r="AH579" i="3"/>
  <c r="D579" i="3"/>
  <c r="F579" i="3" l="1"/>
  <c r="G579" i="3"/>
  <c r="M579" i="3" s="1"/>
  <c r="N579" i="3" s="1"/>
  <c r="V579" i="3"/>
  <c r="A580" i="3"/>
  <c r="B580" i="3" s="1"/>
  <c r="I579" i="3" l="1"/>
  <c r="W579" i="3" s="1"/>
  <c r="J579" i="3"/>
  <c r="L579" i="3" s="1"/>
  <c r="AD580" i="3"/>
  <c r="P580" i="3"/>
  <c r="Q580" i="3" s="1"/>
  <c r="R580" i="3" s="1"/>
  <c r="S580" i="3" s="1"/>
  <c r="AA580" i="3"/>
  <c r="AC580" i="3"/>
  <c r="Z580" i="3"/>
  <c r="U579" i="3" l="1"/>
  <c r="Y578" i="3"/>
  <c r="T580" i="3"/>
  <c r="AH580" i="3" s="1"/>
  <c r="E580" i="3" l="1"/>
  <c r="H580" i="3" s="1"/>
  <c r="D580" i="3"/>
  <c r="AG580" i="3"/>
  <c r="K580" i="3" l="1"/>
  <c r="AE580" i="3" s="1"/>
  <c r="F580" i="3"/>
  <c r="G580" i="3"/>
  <c r="I580" i="3" l="1"/>
  <c r="J580" i="3"/>
  <c r="M580" i="3"/>
  <c r="N580" i="3" s="1"/>
  <c r="V580" i="3"/>
  <c r="A581" i="3"/>
  <c r="B581" i="3" s="1"/>
  <c r="W580" i="3" l="1"/>
  <c r="P581" i="3"/>
  <c r="Q581" i="3" s="1"/>
  <c r="R581" i="3" s="1"/>
  <c r="S581" i="3" s="1"/>
  <c r="Z581" i="3"/>
  <c r="AA581" i="3"/>
  <c r="AC581" i="3"/>
  <c r="AD581" i="3"/>
  <c r="L580" i="3"/>
  <c r="T581" i="3" l="1"/>
  <c r="AH581" i="3" s="1"/>
  <c r="U580" i="3"/>
  <c r="Y579" i="3"/>
  <c r="D581" i="3" l="1"/>
  <c r="G581" i="3" s="1"/>
  <c r="AG581" i="3"/>
  <c r="E581" i="3"/>
  <c r="H581" i="3" s="1"/>
  <c r="I581" i="3" l="1"/>
  <c r="J581" i="3"/>
  <c r="M581" i="3"/>
  <c r="N581" i="3" s="1"/>
  <c r="F581" i="3"/>
  <c r="K581" i="3"/>
  <c r="AE581" i="3" s="1"/>
  <c r="L581" i="3" l="1"/>
  <c r="V581" i="3"/>
  <c r="W581" i="3" s="1"/>
  <c r="A582" i="3"/>
  <c r="B582" i="3" s="1"/>
  <c r="P582" i="3" l="1"/>
  <c r="Q582" i="3" s="1"/>
  <c r="R582" i="3" s="1"/>
  <c r="S582" i="3" s="1"/>
  <c r="Z582" i="3"/>
  <c r="AD582" i="3"/>
  <c r="AC582" i="3"/>
  <c r="AA582" i="3"/>
  <c r="U581" i="3"/>
  <c r="Y580" i="3"/>
  <c r="T582" i="3" l="1"/>
  <c r="AH582" i="3" s="1"/>
  <c r="E582" i="3" l="1"/>
  <c r="H582" i="3" s="1"/>
  <c r="K582" i="3" s="1"/>
  <c r="AE582" i="3" s="1"/>
  <c r="AG582" i="3"/>
  <c r="D582" i="3"/>
  <c r="V582" i="3" l="1"/>
  <c r="A583" i="3"/>
  <c r="B583" i="3" s="1"/>
  <c r="F582" i="3"/>
  <c r="G582" i="3"/>
  <c r="I582" i="3" l="1"/>
  <c r="W582" i="3" s="1"/>
  <c r="J582" i="3"/>
  <c r="M582" i="3"/>
  <c r="N582" i="3" s="1"/>
  <c r="AD583" i="3"/>
  <c r="AA583" i="3"/>
  <c r="Z583" i="3"/>
  <c r="P583" i="3"/>
  <c r="Q583" i="3" s="1"/>
  <c r="R583" i="3" s="1"/>
  <c r="S583" i="3" s="1"/>
  <c r="AC583" i="3"/>
  <c r="T583" i="3" l="1"/>
  <c r="L582" i="3"/>
  <c r="U582" i="3" l="1"/>
  <c r="E583" i="3" s="1"/>
  <c r="H583" i="3" s="1"/>
  <c r="AG583" i="3"/>
  <c r="AH583" i="3"/>
  <c r="Y581" i="3"/>
  <c r="D583" i="3" l="1"/>
  <c r="G583" i="3" s="1"/>
  <c r="K583" i="3"/>
  <c r="AE583" i="3" s="1"/>
  <c r="F583" i="3" l="1"/>
  <c r="V583" i="3"/>
  <c r="A584" i="3"/>
  <c r="B584" i="3" s="1"/>
  <c r="I583" i="3"/>
  <c r="J583" i="3"/>
  <c r="M583" i="3"/>
  <c r="N583" i="3" s="1"/>
  <c r="W583" i="3" l="1"/>
  <c r="L583" i="3"/>
  <c r="AC584" i="3"/>
  <c r="P584" i="3"/>
  <c r="Q584" i="3" s="1"/>
  <c r="R584" i="3" s="1"/>
  <c r="S584" i="3" s="1"/>
  <c r="AA584" i="3"/>
  <c r="Z584" i="3"/>
  <c r="U583" i="3" l="1"/>
  <c r="Y582" i="3"/>
  <c r="T584" i="3"/>
  <c r="AG584" i="3" s="1"/>
  <c r="E584" i="3" l="1"/>
  <c r="H584" i="3" s="1"/>
  <c r="K584" i="3" s="1"/>
  <c r="AE584" i="3" s="1"/>
  <c r="AH584" i="3"/>
  <c r="D584" i="3"/>
  <c r="V584" i="3" l="1"/>
  <c r="A585" i="3"/>
  <c r="B585" i="3" s="1"/>
  <c r="F584" i="3"/>
  <c r="G584" i="3"/>
  <c r="Z585" i="3" l="1"/>
  <c r="AA585" i="3"/>
  <c r="P585" i="3"/>
  <c r="Q585" i="3" s="1"/>
  <c r="R585" i="3" s="1"/>
  <c r="S585" i="3" s="1"/>
  <c r="AD585" i="3"/>
  <c r="AC585" i="3"/>
  <c r="I584" i="3"/>
  <c r="W584" i="3" s="1"/>
  <c r="J584" i="3"/>
  <c r="AD584" i="3" s="1"/>
  <c r="M584" i="3"/>
  <c r="N584" i="3" s="1"/>
  <c r="T585" i="3" l="1"/>
  <c r="L584" i="3"/>
  <c r="AG585" i="3" l="1"/>
  <c r="U584" i="3"/>
  <c r="D585" i="3" s="1"/>
  <c r="AH585" i="3"/>
  <c r="Y583" i="3"/>
  <c r="G585" i="3" l="1"/>
  <c r="E585" i="3"/>
  <c r="H585" i="3" s="1"/>
  <c r="F585" i="3" l="1"/>
  <c r="I585" i="3"/>
  <c r="J585" i="3"/>
  <c r="M585" i="3"/>
  <c r="N585" i="3" s="1"/>
  <c r="K585" i="3"/>
  <c r="AE585" i="3" s="1"/>
  <c r="V585" i="3" l="1"/>
  <c r="W585" i="3" s="1"/>
  <c r="A586" i="3"/>
  <c r="B586" i="3" s="1"/>
  <c r="L585" i="3"/>
  <c r="U585" i="3" l="1"/>
  <c r="Y584" i="3"/>
  <c r="P586" i="3"/>
  <c r="Q586" i="3" s="1"/>
  <c r="R586" i="3" s="1"/>
  <c r="S586" i="3" s="1"/>
  <c r="AA586" i="3"/>
  <c r="Z586" i="3"/>
  <c r="AD586" i="3"/>
  <c r="AC586" i="3"/>
  <c r="T586" i="3" l="1"/>
  <c r="E586" i="3" s="1"/>
  <c r="H586" i="3" s="1"/>
  <c r="AH586" i="3" l="1"/>
  <c r="K586" i="3"/>
  <c r="AE586" i="3" s="1"/>
  <c r="AG586" i="3"/>
  <c r="D586" i="3"/>
  <c r="F586" i="3" l="1"/>
  <c r="G586" i="3"/>
  <c r="V586" i="3"/>
  <c r="A587" i="3"/>
  <c r="B587" i="3" s="1"/>
  <c r="AA587" i="3" l="1"/>
  <c r="AD587" i="3"/>
  <c r="Z587" i="3"/>
  <c r="AC587" i="3"/>
  <c r="P587" i="3"/>
  <c r="Q587" i="3" s="1"/>
  <c r="R587" i="3" s="1"/>
  <c r="S587" i="3" s="1"/>
  <c r="I586" i="3"/>
  <c r="W586" i="3" s="1"/>
  <c r="J586" i="3"/>
  <c r="M586" i="3"/>
  <c r="N586" i="3" s="1"/>
  <c r="T587" i="3" l="1"/>
  <c r="L586" i="3"/>
  <c r="AH587" i="3" l="1"/>
  <c r="U586" i="3"/>
  <c r="D587" i="3" s="1"/>
  <c r="AG587" i="3"/>
  <c r="Y585" i="3"/>
  <c r="G587" i="3" l="1"/>
  <c r="E587" i="3"/>
  <c r="H587" i="3" s="1"/>
  <c r="F587" i="3" l="1"/>
  <c r="K587" i="3"/>
  <c r="AE587" i="3" s="1"/>
  <c r="I587" i="3"/>
  <c r="J587" i="3"/>
  <c r="M587" i="3"/>
  <c r="N587" i="3" s="1"/>
  <c r="L587" i="3" l="1"/>
  <c r="V587" i="3"/>
  <c r="W587" i="3" s="1"/>
  <c r="A588" i="3"/>
  <c r="B588" i="3" s="1"/>
  <c r="U587" i="3" l="1"/>
  <c r="Y586" i="3"/>
  <c r="P588" i="3"/>
  <c r="Q588" i="3" s="1"/>
  <c r="R588" i="3" s="1"/>
  <c r="S588" i="3" s="1"/>
  <c r="AD588" i="3"/>
  <c r="Z588" i="3"/>
  <c r="AC588" i="3"/>
  <c r="AA588" i="3"/>
  <c r="T588" i="3" l="1"/>
  <c r="AH588" i="3" s="1"/>
  <c r="E588" i="3" l="1"/>
  <c r="H588" i="3" s="1"/>
  <c r="K588" i="3" s="1"/>
  <c r="AE588" i="3" s="1"/>
  <c r="AG588" i="3"/>
  <c r="D588" i="3"/>
  <c r="G588" i="3" s="1"/>
  <c r="F588" i="3" l="1"/>
  <c r="I588" i="3"/>
  <c r="J588" i="3"/>
  <c r="M588" i="3"/>
  <c r="N588" i="3" s="1"/>
  <c r="V588" i="3"/>
  <c r="A589" i="3"/>
  <c r="B589" i="3" s="1"/>
  <c r="W588" i="3" l="1"/>
  <c r="L588" i="3"/>
  <c r="AA589" i="3"/>
  <c r="Z589" i="3"/>
  <c r="AC589" i="3"/>
  <c r="P589" i="3"/>
  <c r="Q589" i="3" s="1"/>
  <c r="R589" i="3" s="1"/>
  <c r="S589" i="3" s="1"/>
  <c r="AD589" i="3"/>
  <c r="T589" i="3" l="1"/>
  <c r="AG589" i="3" s="1"/>
  <c r="U588" i="3"/>
  <c r="Y587" i="3"/>
  <c r="AH589" i="3" l="1"/>
  <c r="D589" i="3"/>
  <c r="E589" i="3"/>
  <c r="H589" i="3" s="1"/>
  <c r="F589" i="3" l="1"/>
  <c r="G589" i="3"/>
  <c r="K589" i="3"/>
  <c r="AE589" i="3" s="1"/>
  <c r="I589" i="3" l="1"/>
  <c r="J589" i="3"/>
  <c r="M589" i="3"/>
  <c r="N589" i="3" s="1"/>
  <c r="V589" i="3"/>
  <c r="A590" i="3"/>
  <c r="B590" i="3" s="1"/>
  <c r="W589" i="3" l="1"/>
  <c r="L589" i="3"/>
  <c r="P590" i="3"/>
  <c r="Q590" i="3" s="1"/>
  <c r="R590" i="3" s="1"/>
  <c r="S590" i="3" s="1"/>
  <c r="AC590" i="3"/>
  <c r="AA590" i="3"/>
  <c r="Z590" i="3"/>
  <c r="AD590" i="3"/>
  <c r="U589" i="3" l="1"/>
  <c r="Y588" i="3"/>
  <c r="T590" i="3"/>
  <c r="AH590" i="3" s="1"/>
  <c r="D590" i="3" l="1"/>
  <c r="G590" i="3" s="1"/>
  <c r="E590" i="3"/>
  <c r="H590" i="3" s="1"/>
  <c r="K590" i="3" s="1"/>
  <c r="AE590" i="3" s="1"/>
  <c r="AG590" i="3"/>
  <c r="F590" i="3" l="1"/>
  <c r="V590" i="3"/>
  <c r="A591" i="3"/>
  <c r="B591" i="3" s="1"/>
  <c r="I590" i="3"/>
  <c r="J590" i="3"/>
  <c r="M590" i="3"/>
  <c r="N590" i="3" s="1"/>
  <c r="W590" i="3" l="1"/>
  <c r="L590" i="3"/>
  <c r="AC591" i="3"/>
  <c r="P591" i="3"/>
  <c r="Q591" i="3" s="1"/>
  <c r="R591" i="3" s="1"/>
  <c r="S591" i="3" s="1"/>
  <c r="Z591" i="3"/>
  <c r="AA591" i="3"/>
  <c r="AD591" i="3"/>
  <c r="U590" i="3" l="1"/>
  <c r="Y589" i="3"/>
  <c r="T591" i="3"/>
  <c r="AG591" i="3" s="1"/>
  <c r="D591" i="3" l="1"/>
  <c r="G591" i="3" s="1"/>
  <c r="E591" i="3"/>
  <c r="H591" i="3" s="1"/>
  <c r="K591" i="3" s="1"/>
  <c r="AE591" i="3" s="1"/>
  <c r="AH591" i="3"/>
  <c r="F591" i="3" l="1"/>
  <c r="I591" i="3"/>
  <c r="J591" i="3"/>
  <c r="M591" i="3"/>
  <c r="N591" i="3" s="1"/>
  <c r="V591" i="3"/>
  <c r="A592" i="3"/>
  <c r="B592" i="3" s="1"/>
  <c r="W591" i="3" l="1"/>
  <c r="L591" i="3"/>
  <c r="AA592" i="3"/>
  <c r="AC592" i="3"/>
  <c r="Z592" i="3"/>
  <c r="AD592" i="3"/>
  <c r="P592" i="3"/>
  <c r="Q592" i="3" s="1"/>
  <c r="R592" i="3" s="1"/>
  <c r="S592" i="3" s="1"/>
  <c r="U591" i="3" l="1"/>
  <c r="Y590" i="3"/>
  <c r="T592" i="3"/>
  <c r="D592" i="3" l="1"/>
  <c r="G592" i="3" s="1"/>
  <c r="AH592" i="3"/>
  <c r="AG592" i="3"/>
  <c r="E592" i="3"/>
  <c r="H592" i="3" s="1"/>
  <c r="K592" i="3" s="1"/>
  <c r="AE592" i="3" s="1"/>
  <c r="F592" i="3" l="1"/>
  <c r="I592" i="3"/>
  <c r="J592" i="3"/>
  <c r="M592" i="3"/>
  <c r="N592" i="3" s="1"/>
  <c r="V592" i="3"/>
  <c r="A593" i="3"/>
  <c r="B593" i="3" s="1"/>
  <c r="W592" i="3" l="1"/>
  <c r="L592" i="3"/>
  <c r="Z593" i="3"/>
  <c r="P593" i="3"/>
  <c r="Q593" i="3" s="1"/>
  <c r="R593" i="3" s="1"/>
  <c r="S593" i="3" s="1"/>
  <c r="AD593" i="3"/>
  <c r="AA593" i="3"/>
  <c r="AC593" i="3"/>
  <c r="U592" i="3" l="1"/>
  <c r="Y591" i="3"/>
  <c r="T593" i="3"/>
  <c r="E593" i="3" l="1"/>
  <c r="H593" i="3" s="1"/>
  <c r="K593" i="3" s="1"/>
  <c r="AE593" i="3" s="1"/>
  <c r="D593" i="3"/>
  <c r="G593" i="3" s="1"/>
  <c r="AH593" i="3"/>
  <c r="AG593" i="3"/>
  <c r="F593" i="3" l="1"/>
  <c r="I593" i="3"/>
  <c r="J593" i="3"/>
  <c r="M593" i="3"/>
  <c r="N593" i="3" s="1"/>
  <c r="V593" i="3"/>
  <c r="A594" i="3"/>
  <c r="B594" i="3" s="1"/>
  <c r="W593" i="3" l="1"/>
  <c r="L593" i="3"/>
  <c r="Z594" i="3"/>
  <c r="AA594" i="3"/>
  <c r="P594" i="3"/>
  <c r="Q594" i="3" s="1"/>
  <c r="R594" i="3" s="1"/>
  <c r="S594" i="3" s="1"/>
  <c r="AC594" i="3"/>
  <c r="U593" i="3" l="1"/>
  <c r="Y592" i="3"/>
  <c r="T594" i="3"/>
  <c r="AG594" i="3" s="1"/>
  <c r="AH594" i="3" l="1"/>
  <c r="E594" i="3"/>
  <c r="H594" i="3" s="1"/>
  <c r="K594" i="3" s="1"/>
  <c r="AE594" i="3" s="1"/>
  <c r="D594" i="3"/>
  <c r="V594" i="3" l="1"/>
  <c r="A595" i="3"/>
  <c r="B595" i="3" s="1"/>
  <c r="F594" i="3"/>
  <c r="G594" i="3"/>
  <c r="I594" i="3" l="1"/>
  <c r="W594" i="3" s="1"/>
  <c r="J594" i="3"/>
  <c r="AD594" i="3" s="1"/>
  <c r="M594" i="3"/>
  <c r="N594" i="3" s="1"/>
  <c r="AC595" i="3"/>
  <c r="AA595" i="3"/>
  <c r="P595" i="3"/>
  <c r="Q595" i="3" s="1"/>
  <c r="R595" i="3" s="1"/>
  <c r="S595" i="3" s="1"/>
  <c r="Z595" i="3"/>
  <c r="AD595" i="3"/>
  <c r="T595" i="3" l="1"/>
  <c r="L594" i="3"/>
  <c r="AH595" i="3" l="1"/>
  <c r="U594" i="3"/>
  <c r="E595" i="3" s="1"/>
  <c r="H595" i="3" s="1"/>
  <c r="AG595" i="3"/>
  <c r="Y593" i="3"/>
  <c r="D595" i="3" l="1"/>
  <c r="G595" i="3" s="1"/>
  <c r="K595" i="3"/>
  <c r="AE595" i="3" s="1"/>
  <c r="F595" i="3" l="1"/>
  <c r="V595" i="3"/>
  <c r="A596" i="3"/>
  <c r="B596" i="3" s="1"/>
  <c r="I595" i="3"/>
  <c r="J595" i="3"/>
  <c r="M595" i="3"/>
  <c r="N595" i="3" s="1"/>
  <c r="W595" i="3" l="1"/>
  <c r="L595" i="3"/>
  <c r="P596" i="3"/>
  <c r="Q596" i="3" s="1"/>
  <c r="R596" i="3" s="1"/>
  <c r="S596" i="3" s="1"/>
  <c r="AA596" i="3"/>
  <c r="AC596" i="3"/>
  <c r="AD596" i="3"/>
  <c r="Z596" i="3"/>
  <c r="T596" i="3" l="1"/>
  <c r="AG596" i="3" s="1"/>
  <c r="U595" i="3"/>
  <c r="Y594" i="3"/>
  <c r="D596" i="3" l="1"/>
  <c r="E596" i="3"/>
  <c r="H596" i="3" s="1"/>
  <c r="AH596" i="3"/>
  <c r="F596" i="3" l="1"/>
  <c r="G596" i="3"/>
  <c r="K596" i="3"/>
  <c r="AE596" i="3" s="1"/>
  <c r="V596" i="3" l="1"/>
  <c r="A597" i="3"/>
  <c r="B597" i="3" s="1"/>
  <c r="I596" i="3"/>
  <c r="J596" i="3"/>
  <c r="M596" i="3"/>
  <c r="N596" i="3" s="1"/>
  <c r="W596" i="3" l="1"/>
  <c r="L596" i="3"/>
  <c r="Z597" i="3"/>
  <c r="P597" i="3"/>
  <c r="Q597" i="3" s="1"/>
  <c r="R597" i="3" s="1"/>
  <c r="S597" i="3" s="1"/>
  <c r="AA597" i="3"/>
  <c r="AC597" i="3"/>
  <c r="AD597" i="3"/>
  <c r="U596" i="3" l="1"/>
  <c r="Y595" i="3"/>
  <c r="T597" i="3"/>
  <c r="E597" i="3" l="1"/>
  <c r="H597" i="3" s="1"/>
  <c r="K597" i="3" s="1"/>
  <c r="AE597" i="3" s="1"/>
  <c r="AH597" i="3"/>
  <c r="AG597" i="3"/>
  <c r="D597" i="3"/>
  <c r="G597" i="3" s="1"/>
  <c r="F597" i="3" l="1"/>
  <c r="I597" i="3"/>
  <c r="J597" i="3"/>
  <c r="M597" i="3"/>
  <c r="N597" i="3" s="1"/>
  <c r="V597" i="3"/>
  <c r="A598" i="3"/>
  <c r="B598" i="3" s="1"/>
  <c r="W597" i="3" l="1"/>
  <c r="L597" i="3"/>
  <c r="AC598" i="3"/>
  <c r="P598" i="3"/>
  <c r="Q598" i="3" s="1"/>
  <c r="R598" i="3" s="1"/>
  <c r="S598" i="3" s="1"/>
  <c r="Z598" i="3"/>
  <c r="AA598" i="3"/>
  <c r="AD598" i="3"/>
  <c r="U597" i="3" l="1"/>
  <c r="Y596" i="3"/>
  <c r="T598" i="3"/>
  <c r="AG598" i="3" s="1"/>
  <c r="AH598" i="3" l="1"/>
  <c r="E598" i="3"/>
  <c r="H598" i="3" s="1"/>
  <c r="K598" i="3" s="1"/>
  <c r="AE598" i="3" s="1"/>
  <c r="D598" i="3"/>
  <c r="V598" i="3" l="1"/>
  <c r="A599" i="3"/>
  <c r="B599" i="3" s="1"/>
  <c r="F598" i="3"/>
  <c r="G598" i="3"/>
  <c r="I598" i="3" l="1"/>
  <c r="W598" i="3" s="1"/>
  <c r="J598" i="3"/>
  <c r="M598" i="3"/>
  <c r="N598" i="3" s="1"/>
  <c r="AC599" i="3"/>
  <c r="AA599" i="3"/>
  <c r="P599" i="3"/>
  <c r="Q599" i="3" s="1"/>
  <c r="R599" i="3" s="1"/>
  <c r="S599" i="3" s="1"/>
  <c r="AD599" i="3"/>
  <c r="Z599" i="3"/>
  <c r="T599" i="3" l="1"/>
  <c r="L598" i="3"/>
  <c r="U598" i="3" l="1"/>
  <c r="D599" i="3" s="1"/>
  <c r="AG599" i="3"/>
  <c r="AH599" i="3"/>
  <c r="Y597" i="3"/>
  <c r="G599" i="3" l="1"/>
  <c r="E599" i="3"/>
  <c r="H599" i="3" s="1"/>
  <c r="I599" i="3" l="1"/>
  <c r="J599" i="3"/>
  <c r="M599" i="3"/>
  <c r="N599" i="3" s="1"/>
  <c r="K599" i="3"/>
  <c r="AE599" i="3" s="1"/>
  <c r="F599" i="3"/>
  <c r="V599" i="3" l="1"/>
  <c r="W599" i="3" s="1"/>
  <c r="A600" i="3"/>
  <c r="B600" i="3" s="1"/>
  <c r="L599" i="3"/>
  <c r="U599" i="3" l="1"/>
  <c r="Y598" i="3"/>
  <c r="AC600" i="3"/>
  <c r="P600" i="3"/>
  <c r="Q600" i="3" s="1"/>
  <c r="R600" i="3" s="1"/>
  <c r="S600" i="3" s="1"/>
  <c r="Z600" i="3"/>
  <c r="AA600" i="3"/>
  <c r="AD600" i="3"/>
  <c r="T600" i="3" l="1"/>
  <c r="E600" i="3" s="1"/>
  <c r="H600" i="3" s="1"/>
  <c r="AH600" i="3" l="1"/>
  <c r="K600" i="3"/>
  <c r="AE600" i="3" s="1"/>
  <c r="AG600" i="3"/>
  <c r="D600" i="3"/>
  <c r="V600" i="3" l="1"/>
  <c r="A601" i="3"/>
  <c r="B601" i="3" s="1"/>
  <c r="F600" i="3"/>
  <c r="G600" i="3"/>
  <c r="I600" i="3" l="1"/>
  <c r="W600" i="3" s="1"/>
  <c r="J600" i="3"/>
  <c r="M600" i="3"/>
  <c r="N600" i="3" s="1"/>
  <c r="P601" i="3"/>
  <c r="Q601" i="3" s="1"/>
  <c r="R601" i="3" s="1"/>
  <c r="S601" i="3" s="1"/>
  <c r="AA601" i="3"/>
  <c r="AC601" i="3"/>
  <c r="Z601" i="3"/>
  <c r="AD601" i="3"/>
  <c r="T601" i="3" l="1"/>
  <c r="L600" i="3"/>
  <c r="AH601" i="3" l="1"/>
  <c r="U600" i="3"/>
  <c r="D601" i="3" s="1"/>
  <c r="AG601" i="3"/>
  <c r="Y599" i="3"/>
  <c r="E601" i="3" l="1"/>
  <c r="H601" i="3" s="1"/>
  <c r="K601" i="3" s="1"/>
  <c r="AE601" i="3" s="1"/>
  <c r="G601" i="3"/>
  <c r="F601" i="3" l="1"/>
  <c r="I601" i="3"/>
  <c r="J601" i="3"/>
  <c r="M601" i="3"/>
  <c r="N601" i="3" s="1"/>
  <c r="V601" i="3"/>
  <c r="A602" i="3"/>
  <c r="B602" i="3" s="1"/>
  <c r="W601" i="3" l="1"/>
  <c r="L601" i="3"/>
  <c r="P602" i="3"/>
  <c r="Q602" i="3" s="1"/>
  <c r="R602" i="3" s="1"/>
  <c r="S602" i="3" s="1"/>
  <c r="Z602" i="3"/>
  <c r="AC602" i="3"/>
  <c r="AD602" i="3"/>
  <c r="AA602" i="3"/>
  <c r="U601" i="3" l="1"/>
  <c r="Y600" i="3"/>
  <c r="T602" i="3"/>
  <c r="AG602" i="3" s="1"/>
  <c r="D602" i="3" l="1"/>
  <c r="E602" i="3"/>
  <c r="H602" i="3" s="1"/>
  <c r="AH602" i="3"/>
  <c r="K602" i="3" l="1"/>
  <c r="AE602" i="3" s="1"/>
  <c r="F602" i="3"/>
  <c r="G602" i="3"/>
  <c r="I602" i="3" l="1"/>
  <c r="J602" i="3"/>
  <c r="M602" i="3"/>
  <c r="N602" i="3" s="1"/>
  <c r="V602" i="3"/>
  <c r="A603" i="3"/>
  <c r="B603" i="3" s="1"/>
  <c r="W602" i="3" l="1"/>
  <c r="L602" i="3"/>
  <c r="AA603" i="3"/>
  <c r="AC603" i="3"/>
  <c r="AD603" i="3"/>
  <c r="Z603" i="3"/>
  <c r="P603" i="3"/>
  <c r="Q603" i="3" s="1"/>
  <c r="R603" i="3" s="1"/>
  <c r="S603" i="3" s="1"/>
  <c r="U602" i="3" l="1"/>
  <c r="Y601" i="3"/>
  <c r="T603" i="3"/>
  <c r="AG603" i="3" s="1"/>
  <c r="AH603" i="3" l="1"/>
  <c r="D603" i="3"/>
  <c r="G603" i="3" s="1"/>
  <c r="E603" i="3"/>
  <c r="H603" i="3" s="1"/>
  <c r="K603" i="3" s="1"/>
  <c r="AE603" i="3" s="1"/>
  <c r="F603" i="3" l="1"/>
  <c r="I603" i="3"/>
  <c r="J603" i="3"/>
  <c r="M603" i="3"/>
  <c r="N603" i="3" s="1"/>
  <c r="V603" i="3"/>
  <c r="A604" i="3"/>
  <c r="B604" i="3" s="1"/>
  <c r="W603" i="3" l="1"/>
  <c r="L603" i="3"/>
  <c r="AC604" i="3"/>
  <c r="Z604" i="3"/>
  <c r="AA604" i="3"/>
  <c r="P604" i="3"/>
  <c r="Q604" i="3" s="1"/>
  <c r="R604" i="3" s="1"/>
  <c r="S604" i="3" s="1"/>
  <c r="U603" i="3" l="1"/>
  <c r="Y602" i="3"/>
  <c r="T604" i="3"/>
  <c r="AH604" i="3" s="1"/>
  <c r="D604" i="3" l="1"/>
  <c r="E604" i="3"/>
  <c r="H604" i="3" s="1"/>
  <c r="AG604" i="3"/>
  <c r="F604" i="3" l="1"/>
  <c r="G604" i="3"/>
  <c r="K604" i="3"/>
  <c r="AE604" i="3" s="1"/>
  <c r="V604" i="3" l="1"/>
  <c r="A605" i="3"/>
  <c r="B605" i="3" s="1"/>
  <c r="I604" i="3"/>
  <c r="J604" i="3"/>
  <c r="AD604" i="3" s="1"/>
  <c r="M604" i="3"/>
  <c r="N604" i="3" s="1"/>
  <c r="W604" i="3" l="1"/>
  <c r="L604" i="3"/>
  <c r="P605" i="3"/>
  <c r="Q605" i="3" s="1"/>
  <c r="R605" i="3" s="1"/>
  <c r="S605" i="3" s="1"/>
  <c r="Z605" i="3"/>
  <c r="AA605" i="3"/>
  <c r="AD605" i="3"/>
  <c r="AC605" i="3"/>
  <c r="U604" i="3" l="1"/>
  <c r="Y603" i="3"/>
  <c r="T605" i="3"/>
  <c r="AG605" i="3" s="1"/>
  <c r="AH605" i="3" l="1"/>
  <c r="D605" i="3"/>
  <c r="E605" i="3"/>
  <c r="H605" i="3" s="1"/>
  <c r="K605" i="3" s="1"/>
  <c r="AE605" i="3" s="1"/>
  <c r="F605" i="3" l="1"/>
  <c r="G605" i="3"/>
  <c r="M605" i="3" s="1"/>
  <c r="N605" i="3" s="1"/>
  <c r="V605" i="3"/>
  <c r="A606" i="3"/>
  <c r="B606" i="3" s="1"/>
  <c r="I605" i="3" l="1"/>
  <c r="W605" i="3" s="1"/>
  <c r="J605" i="3"/>
  <c r="L605" i="3" s="1"/>
  <c r="P606" i="3"/>
  <c r="Q606" i="3" s="1"/>
  <c r="R606" i="3" s="1"/>
  <c r="S606" i="3" s="1"/>
  <c r="AC606" i="3"/>
  <c r="AD606" i="3"/>
  <c r="AA606" i="3"/>
  <c r="Z606" i="3"/>
  <c r="U605" i="3" l="1"/>
  <c r="Y604" i="3"/>
  <c r="T606" i="3"/>
  <c r="AG606" i="3" s="1"/>
  <c r="E606" i="3" l="1"/>
  <c r="H606" i="3" s="1"/>
  <c r="AH606" i="3"/>
  <c r="D606" i="3"/>
  <c r="F606" i="3" l="1"/>
  <c r="G606" i="3"/>
  <c r="K606" i="3"/>
  <c r="AE606" i="3" s="1"/>
  <c r="I606" i="3" l="1"/>
  <c r="J606" i="3"/>
  <c r="M606" i="3"/>
  <c r="N606" i="3" s="1"/>
  <c r="V606" i="3"/>
  <c r="A607" i="3"/>
  <c r="B607" i="3" s="1"/>
  <c r="W606" i="3" l="1"/>
  <c r="L606" i="3"/>
  <c r="Z607" i="3"/>
  <c r="AD607" i="3"/>
  <c r="AC607" i="3"/>
  <c r="P607" i="3"/>
  <c r="Q607" i="3" s="1"/>
  <c r="R607" i="3" s="1"/>
  <c r="S607" i="3" s="1"/>
  <c r="AA607" i="3"/>
  <c r="U606" i="3" l="1"/>
  <c r="Y605" i="3"/>
  <c r="T607" i="3"/>
  <c r="AH607" i="3" s="1"/>
  <c r="E607" i="3" l="1"/>
  <c r="H607" i="3" s="1"/>
  <c r="K607" i="3" s="1"/>
  <c r="AE607" i="3" s="1"/>
  <c r="D607" i="3"/>
  <c r="AG607" i="3"/>
  <c r="V607" i="3" l="1"/>
  <c r="A608" i="3"/>
  <c r="B608" i="3" s="1"/>
  <c r="F607" i="3"/>
  <c r="G607" i="3"/>
  <c r="I607" i="3" l="1"/>
  <c r="W607" i="3" s="1"/>
  <c r="J607" i="3"/>
  <c r="M607" i="3"/>
  <c r="N607" i="3" s="1"/>
  <c r="AD608" i="3"/>
  <c r="AA608" i="3"/>
  <c r="P608" i="3"/>
  <c r="Q608" i="3" s="1"/>
  <c r="R608" i="3" s="1"/>
  <c r="S608" i="3" s="1"/>
  <c r="Z608" i="3"/>
  <c r="AC608" i="3"/>
  <c r="T608" i="3" l="1"/>
  <c r="L607" i="3"/>
  <c r="AH608" i="3" l="1"/>
  <c r="AG608" i="3"/>
  <c r="U607" i="3"/>
  <c r="E608" i="3" s="1"/>
  <c r="H608" i="3" s="1"/>
  <c r="Y606" i="3"/>
  <c r="D608" i="3" l="1"/>
  <c r="G608" i="3" s="1"/>
  <c r="K608" i="3"/>
  <c r="AE608" i="3" s="1"/>
  <c r="F608" i="3" l="1"/>
  <c r="I608" i="3"/>
  <c r="J608" i="3"/>
  <c r="M608" i="3"/>
  <c r="N608" i="3" s="1"/>
  <c r="V608" i="3"/>
  <c r="A609" i="3"/>
  <c r="B609" i="3" s="1"/>
  <c r="L608" i="3" l="1"/>
  <c r="W608" i="3"/>
  <c r="Z609" i="3"/>
  <c r="P609" i="3"/>
  <c r="Q609" i="3" s="1"/>
  <c r="R609" i="3" s="1"/>
  <c r="S609" i="3" s="1"/>
  <c r="AC609" i="3"/>
  <c r="AA609" i="3"/>
  <c r="AD609" i="3"/>
  <c r="U608" i="3" l="1"/>
  <c r="Y607" i="3"/>
  <c r="T609" i="3"/>
  <c r="AG609" i="3" s="1"/>
  <c r="E609" i="3" l="1"/>
  <c r="H609" i="3" s="1"/>
  <c r="D609" i="3"/>
  <c r="AH609" i="3"/>
  <c r="K609" i="3" l="1"/>
  <c r="AE609" i="3" s="1"/>
  <c r="F609" i="3"/>
  <c r="G609" i="3"/>
  <c r="I609" i="3" l="1"/>
  <c r="J609" i="3"/>
  <c r="M609" i="3"/>
  <c r="N609" i="3" s="1"/>
  <c r="V609" i="3"/>
  <c r="A610" i="3"/>
  <c r="B610" i="3" s="1"/>
  <c r="L609" i="3" l="1"/>
  <c r="W609" i="3"/>
  <c r="AA610" i="3"/>
  <c r="P610" i="3"/>
  <c r="Q610" i="3" s="1"/>
  <c r="R610" i="3" s="1"/>
  <c r="S610" i="3" s="1"/>
  <c r="Z610" i="3"/>
  <c r="AC610" i="3"/>
  <c r="AD610" i="3"/>
  <c r="U609" i="3" l="1"/>
  <c r="Y608" i="3"/>
  <c r="T610" i="3"/>
  <c r="AG610" i="3" s="1"/>
  <c r="AH610" i="3" l="1"/>
  <c r="D610" i="3"/>
  <c r="G610" i="3" s="1"/>
  <c r="E610" i="3"/>
  <c r="H610" i="3" s="1"/>
  <c r="K610" i="3" s="1"/>
  <c r="AE610" i="3" s="1"/>
  <c r="F610" i="3" l="1"/>
  <c r="I610" i="3"/>
  <c r="J610" i="3"/>
  <c r="M610" i="3"/>
  <c r="N610" i="3" s="1"/>
  <c r="V610" i="3"/>
  <c r="A611" i="3"/>
  <c r="B611" i="3" s="1"/>
  <c r="W610" i="3" l="1"/>
  <c r="L610" i="3"/>
  <c r="AA611" i="3"/>
  <c r="P611" i="3"/>
  <c r="Q611" i="3" s="1"/>
  <c r="R611" i="3" s="1"/>
  <c r="S611" i="3" s="1"/>
  <c r="AC611" i="3"/>
  <c r="AD611" i="3"/>
  <c r="Z611" i="3"/>
  <c r="T611" i="3" l="1"/>
  <c r="U610" i="3"/>
  <c r="Y609" i="3"/>
  <c r="E611" i="3" l="1"/>
  <c r="H611" i="3" s="1"/>
  <c r="K611" i="3" s="1"/>
  <c r="AE611" i="3" s="1"/>
  <c r="AH611" i="3"/>
  <c r="AG611" i="3"/>
  <c r="D611" i="3"/>
  <c r="V611" i="3" l="1"/>
  <c r="A612" i="3"/>
  <c r="B612" i="3" s="1"/>
  <c r="F611" i="3"/>
  <c r="G611" i="3"/>
  <c r="I611" i="3" l="1"/>
  <c r="W611" i="3" s="1"/>
  <c r="J611" i="3"/>
  <c r="M611" i="3"/>
  <c r="N611" i="3" s="1"/>
  <c r="Z612" i="3"/>
  <c r="P612" i="3"/>
  <c r="Q612" i="3" s="1"/>
  <c r="R612" i="3" s="1"/>
  <c r="S612" i="3" s="1"/>
  <c r="AD612" i="3"/>
  <c r="AC612" i="3"/>
  <c r="AA612" i="3"/>
  <c r="T612" i="3" l="1"/>
  <c r="L611" i="3"/>
  <c r="U611" i="3" l="1"/>
  <c r="E612" i="3" s="1"/>
  <c r="H612" i="3" s="1"/>
  <c r="AH612" i="3"/>
  <c r="AG612" i="3"/>
  <c r="Y610" i="3"/>
  <c r="D612" i="3" l="1"/>
  <c r="G612" i="3" s="1"/>
  <c r="K612" i="3"/>
  <c r="AE612" i="3" s="1"/>
  <c r="F612" i="3" l="1"/>
  <c r="V612" i="3"/>
  <c r="A613" i="3"/>
  <c r="B613" i="3" s="1"/>
  <c r="I612" i="3"/>
  <c r="J612" i="3"/>
  <c r="M612" i="3"/>
  <c r="N612" i="3" s="1"/>
  <c r="W612" i="3" l="1"/>
  <c r="L612" i="3"/>
  <c r="P613" i="3"/>
  <c r="Q613" i="3" s="1"/>
  <c r="R613" i="3" s="1"/>
  <c r="S613" i="3" s="1"/>
  <c r="AD613" i="3"/>
  <c r="AA613" i="3"/>
  <c r="Z613" i="3"/>
  <c r="AC613" i="3"/>
  <c r="U612" i="3" l="1"/>
  <c r="Y611" i="3"/>
  <c r="T613" i="3"/>
  <c r="AG613" i="3" s="1"/>
  <c r="D613" i="3" l="1"/>
  <c r="AH613" i="3"/>
  <c r="E613" i="3"/>
  <c r="H613" i="3" s="1"/>
  <c r="F613" i="3" l="1"/>
  <c r="G613" i="3"/>
  <c r="K613" i="3"/>
  <c r="AE613" i="3" s="1"/>
  <c r="V613" i="3" l="1"/>
  <c r="A614" i="3"/>
  <c r="B614" i="3" s="1"/>
  <c r="I613" i="3"/>
  <c r="J613" i="3"/>
  <c r="M613" i="3"/>
  <c r="N613" i="3" s="1"/>
  <c r="W613" i="3" l="1"/>
  <c r="L613" i="3"/>
  <c r="AC614" i="3"/>
  <c r="AA614" i="3"/>
  <c r="Z614" i="3"/>
  <c r="P614" i="3"/>
  <c r="Q614" i="3" s="1"/>
  <c r="R614" i="3" s="1"/>
  <c r="S614" i="3" s="1"/>
  <c r="U613" i="3" l="1"/>
  <c r="Y612" i="3"/>
  <c r="T614" i="3"/>
  <c r="AG614" i="3" s="1"/>
  <c r="D614" i="3" l="1"/>
  <c r="G614" i="3" s="1"/>
  <c r="E614" i="3"/>
  <c r="H614" i="3" s="1"/>
  <c r="K614" i="3" s="1"/>
  <c r="AE614" i="3" s="1"/>
  <c r="AH614" i="3"/>
  <c r="F614" i="3" l="1"/>
  <c r="I614" i="3"/>
  <c r="J614" i="3"/>
  <c r="AD614" i="3" s="1"/>
  <c r="M614" i="3"/>
  <c r="N614" i="3" s="1"/>
  <c r="V614" i="3"/>
  <c r="A615" i="3"/>
  <c r="B615" i="3" s="1"/>
  <c r="L614" i="3" l="1"/>
  <c r="W614" i="3"/>
  <c r="P615" i="3"/>
  <c r="Q615" i="3" s="1"/>
  <c r="R615" i="3" s="1"/>
  <c r="S615" i="3" s="1"/>
  <c r="AC615" i="3"/>
  <c r="Z615" i="3"/>
  <c r="AA615" i="3"/>
  <c r="AD615" i="3"/>
  <c r="U614" i="3" l="1"/>
  <c r="Y613" i="3"/>
  <c r="T615" i="3"/>
  <c r="AH615" i="3" s="1"/>
  <c r="E615" i="3" l="1"/>
  <c r="H615" i="3" s="1"/>
  <c r="K615" i="3" s="1"/>
  <c r="AE615" i="3" s="1"/>
  <c r="AG615" i="3"/>
  <c r="D615" i="3"/>
  <c r="F615" i="3" l="1"/>
  <c r="G615" i="3"/>
  <c r="V615" i="3"/>
  <c r="A616" i="3"/>
  <c r="B616" i="3" s="1"/>
  <c r="AD616" i="3" l="1"/>
  <c r="P616" i="3"/>
  <c r="Q616" i="3" s="1"/>
  <c r="R616" i="3" s="1"/>
  <c r="S616" i="3" s="1"/>
  <c r="Z616" i="3"/>
  <c r="AC616" i="3"/>
  <c r="AA616" i="3"/>
  <c r="I615" i="3"/>
  <c r="W615" i="3" s="1"/>
  <c r="J615" i="3"/>
  <c r="M615" i="3"/>
  <c r="N615" i="3" s="1"/>
  <c r="L615" i="3" l="1"/>
  <c r="T616" i="3"/>
  <c r="U615" i="3" l="1"/>
  <c r="D616" i="3" s="1"/>
  <c r="AH616" i="3"/>
  <c r="AG616" i="3"/>
  <c r="Y614" i="3"/>
  <c r="E616" i="3" l="1"/>
  <c r="H616" i="3" s="1"/>
  <c r="K616" i="3" s="1"/>
  <c r="AE616" i="3" s="1"/>
  <c r="G616" i="3"/>
  <c r="F616" i="3" l="1"/>
  <c r="I616" i="3"/>
  <c r="J616" i="3"/>
  <c r="M616" i="3"/>
  <c r="N616" i="3" s="1"/>
  <c r="V616" i="3"/>
  <c r="A617" i="3"/>
  <c r="B617" i="3" s="1"/>
  <c r="W616" i="3" l="1"/>
  <c r="L616" i="3"/>
  <c r="Z617" i="3"/>
  <c r="AC617" i="3"/>
  <c r="AD617" i="3"/>
  <c r="P617" i="3"/>
  <c r="Q617" i="3" s="1"/>
  <c r="R617" i="3" s="1"/>
  <c r="S617" i="3" s="1"/>
  <c r="AA617" i="3"/>
  <c r="U616" i="3" l="1"/>
  <c r="Y615" i="3"/>
  <c r="T617" i="3"/>
  <c r="AG617" i="3" s="1"/>
  <c r="D617" i="3" l="1"/>
  <c r="G617" i="3" s="1"/>
  <c r="E617" i="3"/>
  <c r="H617" i="3" s="1"/>
  <c r="K617" i="3" s="1"/>
  <c r="AE617" i="3" s="1"/>
  <c r="AH617" i="3"/>
  <c r="F617" i="3" l="1"/>
  <c r="I617" i="3"/>
  <c r="J617" i="3"/>
  <c r="M617" i="3"/>
  <c r="N617" i="3" s="1"/>
  <c r="V617" i="3"/>
  <c r="A618" i="3"/>
  <c r="B618" i="3" s="1"/>
  <c r="W617" i="3" l="1"/>
  <c r="L617" i="3"/>
  <c r="P618" i="3"/>
  <c r="Q618" i="3" s="1"/>
  <c r="R618" i="3" s="1"/>
  <c r="S618" i="3" s="1"/>
  <c r="AD618" i="3"/>
  <c r="Z618" i="3"/>
  <c r="AC618" i="3"/>
  <c r="AA618" i="3"/>
  <c r="U617" i="3" l="1"/>
  <c r="Y616" i="3"/>
  <c r="T618" i="3"/>
  <c r="E618" i="3" l="1"/>
  <c r="H618" i="3" s="1"/>
  <c r="K618" i="3" s="1"/>
  <c r="AE618" i="3" s="1"/>
  <c r="AG618" i="3"/>
  <c r="D618" i="3"/>
  <c r="AH618" i="3"/>
  <c r="F618" i="3" l="1"/>
  <c r="G618" i="3"/>
  <c r="V618" i="3"/>
  <c r="A619" i="3"/>
  <c r="B619" i="3" s="1"/>
  <c r="P619" i="3" l="1"/>
  <c r="Q619" i="3" s="1"/>
  <c r="R619" i="3" s="1"/>
  <c r="S619" i="3" s="1"/>
  <c r="AD619" i="3"/>
  <c r="AA619" i="3"/>
  <c r="AC619" i="3"/>
  <c r="Z619" i="3"/>
  <c r="I618" i="3"/>
  <c r="W618" i="3" s="1"/>
  <c r="J618" i="3"/>
  <c r="M618" i="3"/>
  <c r="N618" i="3" s="1"/>
  <c r="T619" i="3" l="1"/>
  <c r="L618" i="3"/>
  <c r="AH619" i="3" l="1"/>
  <c r="AG619" i="3"/>
  <c r="U618" i="3"/>
  <c r="D619" i="3" s="1"/>
  <c r="Y617" i="3"/>
  <c r="E619" i="3" l="1"/>
  <c r="H619" i="3" s="1"/>
  <c r="K619" i="3" s="1"/>
  <c r="AE619" i="3" s="1"/>
  <c r="G619" i="3"/>
  <c r="F619" i="3" l="1"/>
  <c r="I619" i="3"/>
  <c r="J619" i="3"/>
  <c r="M619" i="3"/>
  <c r="N619" i="3" s="1"/>
  <c r="V619" i="3"/>
  <c r="A620" i="3"/>
  <c r="B620" i="3" s="1"/>
  <c r="W619" i="3" l="1"/>
  <c r="L619" i="3"/>
  <c r="AC620" i="3"/>
  <c r="AD620" i="3"/>
  <c r="P620" i="3"/>
  <c r="Q620" i="3" s="1"/>
  <c r="R620" i="3" s="1"/>
  <c r="S620" i="3" s="1"/>
  <c r="AA620" i="3"/>
  <c r="Z620" i="3"/>
  <c r="T620" i="3" l="1"/>
  <c r="AH620" i="3" s="1"/>
  <c r="U619" i="3"/>
  <c r="Y618" i="3"/>
  <c r="E620" i="3" l="1"/>
  <c r="H620" i="3" s="1"/>
  <c r="K620" i="3" s="1"/>
  <c r="AE620" i="3" s="1"/>
  <c r="D620" i="3"/>
  <c r="G620" i="3" s="1"/>
  <c r="AG620" i="3"/>
  <c r="F620" i="3" l="1"/>
  <c r="I620" i="3"/>
  <c r="J620" i="3"/>
  <c r="M620" i="3"/>
  <c r="N620" i="3" s="1"/>
  <c r="V620" i="3"/>
  <c r="A621" i="3"/>
  <c r="B621" i="3" s="1"/>
  <c r="W620" i="3" l="1"/>
  <c r="L620" i="3"/>
  <c r="AD621" i="3"/>
  <c r="AC621" i="3"/>
  <c r="AA621" i="3"/>
  <c r="P621" i="3"/>
  <c r="Q621" i="3" s="1"/>
  <c r="R621" i="3" s="1"/>
  <c r="S621" i="3" s="1"/>
  <c r="Z621" i="3"/>
  <c r="U620" i="3" l="1"/>
  <c r="Y619" i="3"/>
  <c r="T621" i="3"/>
  <c r="D621" i="3" l="1"/>
  <c r="G621" i="3" s="1"/>
  <c r="AH621" i="3"/>
  <c r="E621" i="3"/>
  <c r="H621" i="3" s="1"/>
  <c r="AG621" i="3"/>
  <c r="F621" i="3" l="1"/>
  <c r="I621" i="3"/>
  <c r="J621" i="3"/>
  <c r="M621" i="3"/>
  <c r="N621" i="3" s="1"/>
  <c r="K621" i="3"/>
  <c r="AE621" i="3" s="1"/>
  <c r="V621" i="3" l="1"/>
  <c r="W621" i="3" s="1"/>
  <c r="A622" i="3"/>
  <c r="B622" i="3" s="1"/>
  <c r="L621" i="3"/>
  <c r="U621" i="3" l="1"/>
  <c r="Y620" i="3"/>
  <c r="AA622" i="3"/>
  <c r="AC622" i="3"/>
  <c r="P622" i="3"/>
  <c r="Q622" i="3" s="1"/>
  <c r="R622" i="3" s="1"/>
  <c r="S622" i="3" s="1"/>
  <c r="Z622" i="3"/>
  <c r="AD622" i="3"/>
  <c r="T622" i="3" l="1"/>
  <c r="AG622" i="3" s="1"/>
  <c r="D622" i="3" l="1"/>
  <c r="E622" i="3"/>
  <c r="H622" i="3" s="1"/>
  <c r="K622" i="3" s="1"/>
  <c r="AE622" i="3" s="1"/>
  <c r="AH622" i="3"/>
  <c r="F622" i="3" l="1"/>
  <c r="G622" i="3"/>
  <c r="I622" i="3" s="1"/>
  <c r="V622" i="3"/>
  <c r="A623" i="3"/>
  <c r="B623" i="3" s="1"/>
  <c r="M622" i="3" l="1"/>
  <c r="N622" i="3" s="1"/>
  <c r="J622" i="3"/>
  <c r="L622" i="3" s="1"/>
  <c r="W622" i="3"/>
  <c r="P623" i="3"/>
  <c r="Q623" i="3" s="1"/>
  <c r="R623" i="3" s="1"/>
  <c r="S623" i="3" s="1"/>
  <c r="Z623" i="3"/>
  <c r="AD623" i="3"/>
  <c r="AA623" i="3"/>
  <c r="AC623" i="3"/>
  <c r="U622" i="3" l="1"/>
  <c r="Y621" i="3"/>
  <c r="T623" i="3"/>
  <c r="D623" i="3" l="1"/>
  <c r="G623" i="3" s="1"/>
  <c r="AH623" i="3"/>
  <c r="AG623" i="3"/>
  <c r="E623" i="3"/>
  <c r="H623" i="3" s="1"/>
  <c r="K623" i="3" l="1"/>
  <c r="AE623" i="3" s="1"/>
  <c r="I623" i="3"/>
  <c r="J623" i="3"/>
  <c r="M623" i="3"/>
  <c r="N623" i="3" s="1"/>
  <c r="F623" i="3"/>
  <c r="L623" i="3" l="1"/>
  <c r="V623" i="3"/>
  <c r="W623" i="3" s="1"/>
  <c r="A624" i="3"/>
  <c r="B624" i="3" s="1"/>
  <c r="U623" i="3" l="1"/>
  <c r="Y622" i="3"/>
  <c r="AA624" i="3"/>
  <c r="Z624" i="3"/>
  <c r="AC624" i="3"/>
  <c r="P624" i="3"/>
  <c r="Q624" i="3" s="1"/>
  <c r="R624" i="3" s="1"/>
  <c r="S624" i="3" s="1"/>
  <c r="T624" i="3" l="1"/>
  <c r="D624" i="3" s="1"/>
  <c r="AG624" i="3" l="1"/>
  <c r="AH624" i="3"/>
  <c r="E624" i="3"/>
  <c r="H624" i="3" s="1"/>
  <c r="K624" i="3" s="1"/>
  <c r="AE624" i="3" s="1"/>
  <c r="G624" i="3"/>
  <c r="F624" i="3" l="1"/>
  <c r="I624" i="3"/>
  <c r="J624" i="3"/>
  <c r="AD624" i="3" s="1"/>
  <c r="M624" i="3"/>
  <c r="N624" i="3" s="1"/>
  <c r="V624" i="3"/>
  <c r="A625" i="3"/>
  <c r="B625" i="3" s="1"/>
  <c r="W624" i="3" l="1"/>
  <c r="L624" i="3"/>
  <c r="P625" i="3"/>
  <c r="Q625" i="3" s="1"/>
  <c r="R625" i="3" s="1"/>
  <c r="S625" i="3" s="1"/>
  <c r="AD625" i="3"/>
  <c r="AA625" i="3"/>
  <c r="Z625" i="3"/>
  <c r="AC625" i="3"/>
  <c r="U624" i="3" l="1"/>
  <c r="Y623" i="3"/>
  <c r="T625" i="3"/>
  <c r="D625" i="3" l="1"/>
  <c r="G625" i="3" s="1"/>
  <c r="E625" i="3"/>
  <c r="H625" i="3" s="1"/>
  <c r="AH625" i="3"/>
  <c r="AG625" i="3"/>
  <c r="F625" i="3" l="1"/>
  <c r="I625" i="3"/>
  <c r="J625" i="3"/>
  <c r="M625" i="3"/>
  <c r="N625" i="3" s="1"/>
  <c r="K625" i="3"/>
  <c r="AE625" i="3" s="1"/>
  <c r="V625" i="3" l="1"/>
  <c r="W625" i="3" s="1"/>
  <c r="A626" i="3"/>
  <c r="B626" i="3" s="1"/>
  <c r="L625" i="3"/>
  <c r="U625" i="3" l="1"/>
  <c r="Y624" i="3"/>
  <c r="AD626" i="3"/>
  <c r="Z626" i="3"/>
  <c r="AC626" i="3"/>
  <c r="P626" i="3"/>
  <c r="Q626" i="3" s="1"/>
  <c r="R626" i="3" s="1"/>
  <c r="S626" i="3" s="1"/>
  <c r="AA626" i="3"/>
  <c r="T626" i="3" l="1"/>
  <c r="E626" i="3" s="1"/>
  <c r="H626" i="3" s="1"/>
  <c r="AG626" i="3" l="1"/>
  <c r="K626" i="3"/>
  <c r="AE626" i="3" s="1"/>
  <c r="D626" i="3"/>
  <c r="AH626" i="3"/>
  <c r="V626" i="3" l="1"/>
  <c r="A627" i="3"/>
  <c r="B627" i="3" s="1"/>
  <c r="F626" i="3"/>
  <c r="G626" i="3"/>
  <c r="I626" i="3" l="1"/>
  <c r="W626" i="3" s="1"/>
  <c r="J626" i="3"/>
  <c r="M626" i="3"/>
  <c r="N626" i="3" s="1"/>
  <c r="Z627" i="3"/>
  <c r="AD627" i="3"/>
  <c r="P627" i="3"/>
  <c r="Q627" i="3" s="1"/>
  <c r="R627" i="3" s="1"/>
  <c r="S627" i="3" s="1"/>
  <c r="AC627" i="3"/>
  <c r="AA627" i="3"/>
  <c r="L626" i="3" l="1"/>
  <c r="T627" i="3"/>
  <c r="AG627" i="3" l="1"/>
  <c r="U626" i="3"/>
  <c r="D627" i="3" s="1"/>
  <c r="AH627" i="3"/>
  <c r="Y625" i="3"/>
  <c r="G627" i="3" l="1"/>
  <c r="E627" i="3"/>
  <c r="H627" i="3" s="1"/>
  <c r="K627" i="3" l="1"/>
  <c r="AE627" i="3" s="1"/>
  <c r="I627" i="3"/>
  <c r="J627" i="3"/>
  <c r="M627" i="3"/>
  <c r="N627" i="3" s="1"/>
  <c r="F627" i="3"/>
  <c r="L627" i="3" l="1"/>
  <c r="V627" i="3"/>
  <c r="W627" i="3" s="1"/>
  <c r="A628" i="3"/>
  <c r="B628" i="3" s="1"/>
  <c r="Z628" i="3" l="1"/>
  <c r="AA628" i="3"/>
  <c r="P628" i="3"/>
  <c r="Q628" i="3" s="1"/>
  <c r="R628" i="3" s="1"/>
  <c r="S628" i="3" s="1"/>
  <c r="AC628" i="3"/>
  <c r="AD628" i="3"/>
  <c r="U627" i="3"/>
  <c r="Y626" i="3"/>
  <c r="T628" i="3" l="1"/>
  <c r="D628" i="3" l="1"/>
  <c r="E628" i="3"/>
  <c r="H628" i="3" s="1"/>
  <c r="AG628" i="3"/>
  <c r="AH628" i="3"/>
  <c r="F628" i="3" l="1"/>
  <c r="G628" i="3"/>
  <c r="K628" i="3"/>
  <c r="AE628" i="3" s="1"/>
  <c r="I628" i="3" l="1"/>
  <c r="J628" i="3"/>
  <c r="M628" i="3"/>
  <c r="N628" i="3" s="1"/>
  <c r="V628" i="3"/>
  <c r="A629" i="3"/>
  <c r="B629" i="3" s="1"/>
  <c r="W628" i="3" l="1"/>
  <c r="L628" i="3"/>
  <c r="AC629" i="3"/>
  <c r="AA629" i="3"/>
  <c r="P629" i="3"/>
  <c r="Q629" i="3" s="1"/>
  <c r="R629" i="3" s="1"/>
  <c r="S629" i="3" s="1"/>
  <c r="AD629" i="3"/>
  <c r="Z629" i="3"/>
  <c r="T629" i="3" l="1"/>
  <c r="U628" i="3"/>
  <c r="Y627" i="3"/>
  <c r="E629" i="3" l="1"/>
  <c r="H629" i="3" s="1"/>
  <c r="K629" i="3" s="1"/>
  <c r="AE629" i="3" s="1"/>
  <c r="AH629" i="3"/>
  <c r="AG629" i="3"/>
  <c r="D629" i="3"/>
  <c r="F629" i="3" l="1"/>
  <c r="G629" i="3"/>
  <c r="V629" i="3"/>
  <c r="A630" i="3"/>
  <c r="B630" i="3" s="1"/>
  <c r="I629" i="3" l="1"/>
  <c r="W629" i="3" s="1"/>
  <c r="J629" i="3"/>
  <c r="M629" i="3"/>
  <c r="N629" i="3" s="1"/>
  <c r="AD630" i="3"/>
  <c r="P630" i="3"/>
  <c r="Q630" i="3" s="1"/>
  <c r="R630" i="3" s="1"/>
  <c r="S630" i="3" s="1"/>
  <c r="AC630" i="3"/>
  <c r="AA630" i="3"/>
  <c r="Z630" i="3"/>
  <c r="T630" i="3" l="1"/>
  <c r="L629" i="3"/>
  <c r="U629" i="3" l="1"/>
  <c r="D630" i="3" s="1"/>
  <c r="AH630" i="3"/>
  <c r="AG630" i="3"/>
  <c r="Y628" i="3"/>
  <c r="G630" i="3" l="1"/>
  <c r="E630" i="3"/>
  <c r="H630" i="3" s="1"/>
  <c r="F630" i="3" l="1"/>
  <c r="K630" i="3"/>
  <c r="AE630" i="3" s="1"/>
  <c r="I630" i="3"/>
  <c r="J630" i="3"/>
  <c r="M630" i="3"/>
  <c r="N630" i="3" s="1"/>
  <c r="V630" i="3" l="1"/>
  <c r="W630" i="3" s="1"/>
  <c r="A631" i="3"/>
  <c r="B631" i="3" s="1"/>
  <c r="L630" i="3"/>
  <c r="U630" i="3" l="1"/>
  <c r="Y629" i="3"/>
  <c r="AD631" i="3"/>
  <c r="P631" i="3"/>
  <c r="Q631" i="3" s="1"/>
  <c r="R631" i="3" s="1"/>
  <c r="S631" i="3" s="1"/>
  <c r="AC631" i="3"/>
  <c r="AA631" i="3"/>
  <c r="Z631" i="3"/>
  <c r="T631" i="3" l="1"/>
  <c r="D631" i="3" s="1"/>
  <c r="AH631" i="3" l="1"/>
  <c r="E631" i="3"/>
  <c r="H631" i="3" s="1"/>
  <c r="K631" i="3" s="1"/>
  <c r="AE631" i="3" s="1"/>
  <c r="G631" i="3"/>
  <c r="AG631" i="3"/>
  <c r="F631" i="3" l="1"/>
  <c r="I631" i="3"/>
  <c r="J631" i="3"/>
  <c r="M631" i="3"/>
  <c r="N631" i="3" s="1"/>
  <c r="V631" i="3"/>
  <c r="A632" i="3"/>
  <c r="B632" i="3" s="1"/>
  <c r="L631" i="3" l="1"/>
  <c r="W631" i="3"/>
  <c r="AC632" i="3"/>
  <c r="AA632" i="3"/>
  <c r="Z632" i="3"/>
  <c r="P632" i="3"/>
  <c r="Q632" i="3" s="1"/>
  <c r="R632" i="3" s="1"/>
  <c r="S632" i="3" s="1"/>
  <c r="AD632" i="3"/>
  <c r="T632" i="3" l="1"/>
  <c r="U631" i="3"/>
  <c r="Y630" i="3"/>
  <c r="D632" i="3" l="1"/>
  <c r="G632" i="3" s="1"/>
  <c r="E632" i="3"/>
  <c r="H632" i="3" s="1"/>
  <c r="K632" i="3" s="1"/>
  <c r="AE632" i="3" s="1"/>
  <c r="AG632" i="3"/>
  <c r="AH632" i="3"/>
  <c r="F632" i="3" l="1"/>
  <c r="I632" i="3"/>
  <c r="J632" i="3"/>
  <c r="M632" i="3"/>
  <c r="N632" i="3" s="1"/>
  <c r="V632" i="3"/>
  <c r="A633" i="3"/>
  <c r="B633" i="3" s="1"/>
  <c r="W632" i="3" l="1"/>
  <c r="L632" i="3"/>
  <c r="AD633" i="3"/>
  <c r="Z633" i="3"/>
  <c r="AC633" i="3"/>
  <c r="P633" i="3"/>
  <c r="Q633" i="3" s="1"/>
  <c r="R633" i="3" s="1"/>
  <c r="S633" i="3" s="1"/>
  <c r="AA633" i="3"/>
  <c r="U632" i="3" l="1"/>
  <c r="Y631" i="3"/>
  <c r="T633" i="3"/>
  <c r="AG633" i="3" s="1"/>
  <c r="D633" i="3" l="1"/>
  <c r="G633" i="3" s="1"/>
  <c r="E633" i="3"/>
  <c r="H633" i="3" s="1"/>
  <c r="K633" i="3" s="1"/>
  <c r="AE633" i="3" s="1"/>
  <c r="AH633" i="3"/>
  <c r="F633" i="3" l="1"/>
  <c r="V633" i="3"/>
  <c r="A634" i="3"/>
  <c r="B634" i="3" s="1"/>
  <c r="I633" i="3"/>
  <c r="J633" i="3"/>
  <c r="M633" i="3"/>
  <c r="N633" i="3" s="1"/>
  <c r="L633" i="3" l="1"/>
  <c r="W633" i="3"/>
  <c r="P634" i="3"/>
  <c r="Q634" i="3" s="1"/>
  <c r="R634" i="3" s="1"/>
  <c r="S634" i="3" s="1"/>
  <c r="AA634" i="3"/>
  <c r="AC634" i="3"/>
  <c r="Z634" i="3"/>
  <c r="U633" i="3" l="1"/>
  <c r="Y632" i="3"/>
  <c r="T634" i="3"/>
  <c r="AH634" i="3" s="1"/>
  <c r="E634" i="3" l="1"/>
  <c r="H634" i="3" s="1"/>
  <c r="K634" i="3" s="1"/>
  <c r="AE634" i="3" s="1"/>
  <c r="AG634" i="3"/>
  <c r="D634" i="3"/>
  <c r="F634" i="3" l="1"/>
  <c r="G634" i="3"/>
  <c r="V634" i="3"/>
  <c r="A635" i="3"/>
  <c r="B635" i="3" s="1"/>
  <c r="Z635" i="3" l="1"/>
  <c r="AA635" i="3"/>
  <c r="P635" i="3"/>
  <c r="Q635" i="3" s="1"/>
  <c r="R635" i="3" s="1"/>
  <c r="S635" i="3" s="1"/>
  <c r="AD635" i="3"/>
  <c r="AC635" i="3"/>
  <c r="I634" i="3"/>
  <c r="W634" i="3" s="1"/>
  <c r="J634" i="3"/>
  <c r="AD634" i="3" s="1"/>
  <c r="M634" i="3"/>
  <c r="N634" i="3" s="1"/>
  <c r="T635" i="3" l="1"/>
  <c r="L634" i="3"/>
  <c r="AH635" i="3" l="1"/>
  <c r="U634" i="3"/>
  <c r="D635" i="3" s="1"/>
  <c r="AG635" i="3"/>
  <c r="Y633" i="3"/>
  <c r="E635" i="3" l="1"/>
  <c r="H635" i="3" s="1"/>
  <c r="K635" i="3" s="1"/>
  <c r="AE635" i="3" s="1"/>
  <c r="G635" i="3"/>
  <c r="F635" i="3" l="1"/>
  <c r="I635" i="3"/>
  <c r="J635" i="3"/>
  <c r="M635" i="3"/>
  <c r="N635" i="3" s="1"/>
  <c r="V635" i="3"/>
  <c r="A636" i="3"/>
  <c r="B636" i="3" s="1"/>
  <c r="W635" i="3" l="1"/>
  <c r="L635" i="3"/>
  <c r="AC636" i="3"/>
  <c r="AD636" i="3"/>
  <c r="AA636" i="3"/>
  <c r="P636" i="3"/>
  <c r="Q636" i="3" s="1"/>
  <c r="R636" i="3" s="1"/>
  <c r="S636" i="3" s="1"/>
  <c r="Z636" i="3"/>
  <c r="U635" i="3" l="1"/>
  <c r="Y634" i="3"/>
  <c r="T636" i="3"/>
  <c r="AG636" i="3" s="1"/>
  <c r="AH636" i="3" l="1"/>
  <c r="D636" i="3"/>
  <c r="E636" i="3"/>
  <c r="H636" i="3" s="1"/>
  <c r="F636" i="3" l="1"/>
  <c r="G636" i="3"/>
  <c r="K636" i="3"/>
  <c r="AE636" i="3" s="1"/>
  <c r="I636" i="3" l="1"/>
  <c r="J636" i="3"/>
  <c r="M636" i="3"/>
  <c r="N636" i="3" s="1"/>
  <c r="V636" i="3"/>
  <c r="A637" i="3"/>
  <c r="B637" i="3" s="1"/>
  <c r="W636" i="3" l="1"/>
  <c r="L636" i="3"/>
  <c r="Z637" i="3"/>
  <c r="P637" i="3"/>
  <c r="Q637" i="3" s="1"/>
  <c r="R637" i="3" s="1"/>
  <c r="S637" i="3" s="1"/>
  <c r="AC637" i="3"/>
  <c r="AD637" i="3"/>
  <c r="AA637" i="3"/>
  <c r="U636" i="3" l="1"/>
  <c r="Y635" i="3"/>
  <c r="T637" i="3"/>
  <c r="AG637" i="3" s="1"/>
  <c r="D637" i="3" l="1"/>
  <c r="AH637" i="3"/>
  <c r="E637" i="3"/>
  <c r="H637" i="3" s="1"/>
  <c r="F637" i="3" l="1"/>
  <c r="G637" i="3"/>
  <c r="K637" i="3"/>
  <c r="AE637" i="3" s="1"/>
  <c r="I637" i="3" l="1"/>
  <c r="J637" i="3"/>
  <c r="M637" i="3"/>
  <c r="N637" i="3" s="1"/>
  <c r="V637" i="3"/>
  <c r="A638" i="3"/>
  <c r="B638" i="3" s="1"/>
  <c r="W637" i="3" l="1"/>
  <c r="L637" i="3"/>
  <c r="P638" i="3"/>
  <c r="Q638" i="3" s="1"/>
  <c r="R638" i="3" s="1"/>
  <c r="S638" i="3" s="1"/>
  <c r="AD638" i="3"/>
  <c r="AC638" i="3"/>
  <c r="AA638" i="3"/>
  <c r="Z638" i="3"/>
  <c r="T638" i="3" l="1"/>
  <c r="AG638" i="3" s="1"/>
  <c r="U637" i="3"/>
  <c r="Y636" i="3"/>
  <c r="D638" i="3" l="1"/>
  <c r="G638" i="3" s="1"/>
  <c r="E638" i="3"/>
  <c r="H638" i="3" s="1"/>
  <c r="AH638" i="3"/>
  <c r="F638" i="3" l="1"/>
  <c r="I638" i="3"/>
  <c r="J638" i="3"/>
  <c r="M638" i="3"/>
  <c r="N638" i="3" s="1"/>
  <c r="K638" i="3"/>
  <c r="AE638" i="3" s="1"/>
  <c r="V638" i="3" l="1"/>
  <c r="W638" i="3" s="1"/>
  <c r="A639" i="3"/>
  <c r="B639" i="3" s="1"/>
  <c r="L638" i="3"/>
  <c r="U638" i="3" l="1"/>
  <c r="Y637" i="3"/>
  <c r="AC639" i="3"/>
  <c r="P639" i="3"/>
  <c r="Q639" i="3" s="1"/>
  <c r="R639" i="3" s="1"/>
  <c r="S639" i="3" s="1"/>
  <c r="AA639" i="3"/>
  <c r="AD639" i="3"/>
  <c r="Z639" i="3"/>
  <c r="T639" i="3" l="1"/>
  <c r="D639" i="3" s="1"/>
  <c r="AG639" i="3" l="1"/>
  <c r="E639" i="3"/>
  <c r="H639" i="3" s="1"/>
  <c r="K639" i="3" s="1"/>
  <c r="AE639" i="3" s="1"/>
  <c r="AH639" i="3"/>
  <c r="G639" i="3"/>
  <c r="F639" i="3" l="1"/>
  <c r="V639" i="3"/>
  <c r="A640" i="3"/>
  <c r="B640" i="3" s="1"/>
  <c r="I639" i="3"/>
  <c r="J639" i="3"/>
  <c r="M639" i="3"/>
  <c r="N639" i="3" s="1"/>
  <c r="W639" i="3" l="1"/>
  <c r="L639" i="3"/>
  <c r="AD640" i="3"/>
  <c r="P640" i="3"/>
  <c r="Q640" i="3" s="1"/>
  <c r="R640" i="3" s="1"/>
  <c r="S640" i="3" s="1"/>
  <c r="AA640" i="3"/>
  <c r="AC640" i="3"/>
  <c r="Z640" i="3"/>
  <c r="U639" i="3" l="1"/>
  <c r="Y638" i="3"/>
  <c r="T640" i="3"/>
  <c r="E640" i="3" l="1"/>
  <c r="H640" i="3" s="1"/>
  <c r="K640" i="3" s="1"/>
  <c r="AE640" i="3" s="1"/>
  <c r="D640" i="3"/>
  <c r="AG640" i="3"/>
  <c r="AH640" i="3"/>
  <c r="F640" i="3" l="1"/>
  <c r="G640" i="3"/>
  <c r="V640" i="3"/>
  <c r="A641" i="3"/>
  <c r="B641" i="3" s="1"/>
  <c r="AC641" i="3" l="1"/>
  <c r="AA641" i="3"/>
  <c r="AD641" i="3"/>
  <c r="Z641" i="3"/>
  <c r="P641" i="3"/>
  <c r="Q641" i="3" s="1"/>
  <c r="R641" i="3" s="1"/>
  <c r="S641" i="3" s="1"/>
  <c r="I640" i="3"/>
  <c r="W640" i="3" s="1"/>
  <c r="J640" i="3"/>
  <c r="M640" i="3"/>
  <c r="N640" i="3" s="1"/>
  <c r="L640" i="3" l="1"/>
  <c r="T641" i="3"/>
  <c r="U640" i="3" l="1"/>
  <c r="E641" i="3" s="1"/>
  <c r="H641" i="3" s="1"/>
  <c r="AG641" i="3"/>
  <c r="AH641" i="3"/>
  <c r="Y639" i="3"/>
  <c r="K641" i="3" l="1"/>
  <c r="AE641" i="3" s="1"/>
  <c r="D641" i="3"/>
  <c r="V641" i="3" l="1"/>
  <c r="A642" i="3"/>
  <c r="B642" i="3" s="1"/>
  <c r="F641" i="3"/>
  <c r="G641" i="3"/>
  <c r="I641" i="3" l="1"/>
  <c r="W641" i="3" s="1"/>
  <c r="J641" i="3"/>
  <c r="M641" i="3"/>
  <c r="N641" i="3" s="1"/>
  <c r="Z642" i="3"/>
  <c r="AD642" i="3"/>
  <c r="P642" i="3"/>
  <c r="Q642" i="3" s="1"/>
  <c r="R642" i="3" s="1"/>
  <c r="S642" i="3" s="1"/>
  <c r="AC642" i="3"/>
  <c r="AA642" i="3"/>
  <c r="T642" i="3" l="1"/>
  <c r="L641" i="3"/>
  <c r="U641" i="3" l="1"/>
  <c r="D642" i="3" s="1"/>
  <c r="AG642" i="3"/>
  <c r="AH642" i="3"/>
  <c r="Y640" i="3"/>
  <c r="E642" i="3" l="1"/>
  <c r="H642" i="3" s="1"/>
  <c r="K642" i="3" s="1"/>
  <c r="AE642" i="3" s="1"/>
  <c r="G642" i="3"/>
  <c r="F642" i="3" l="1"/>
  <c r="I642" i="3"/>
  <c r="J642" i="3"/>
  <c r="M642" i="3"/>
  <c r="N642" i="3" s="1"/>
  <c r="V642" i="3"/>
  <c r="A643" i="3"/>
  <c r="B643" i="3" s="1"/>
  <c r="W642" i="3" l="1"/>
  <c r="L642" i="3"/>
  <c r="AA643" i="3"/>
  <c r="AD643" i="3"/>
  <c r="AC643" i="3"/>
  <c r="P643" i="3"/>
  <c r="Q643" i="3" s="1"/>
  <c r="R643" i="3" s="1"/>
  <c r="S643" i="3" s="1"/>
  <c r="Z643" i="3"/>
  <c r="U642" i="3" l="1"/>
  <c r="Y641" i="3"/>
  <c r="T643" i="3"/>
  <c r="AH643" i="3" s="1"/>
  <c r="AG643" i="3" l="1"/>
  <c r="E643" i="3"/>
  <c r="H643" i="3" s="1"/>
  <c r="K643" i="3" s="1"/>
  <c r="AE643" i="3" s="1"/>
  <c r="D643" i="3"/>
  <c r="F643" i="3" l="1"/>
  <c r="G643" i="3"/>
  <c r="M643" i="3" s="1"/>
  <c r="N643" i="3" s="1"/>
  <c r="V643" i="3"/>
  <c r="A644" i="3"/>
  <c r="B644" i="3" s="1"/>
  <c r="I643" i="3" l="1"/>
  <c r="W643" i="3" s="1"/>
  <c r="J643" i="3"/>
  <c r="L643" i="3" s="1"/>
  <c r="P644" i="3"/>
  <c r="Q644" i="3" s="1"/>
  <c r="R644" i="3" s="1"/>
  <c r="S644" i="3" s="1"/>
  <c r="AA644" i="3"/>
  <c r="AC644" i="3"/>
  <c r="Z644" i="3"/>
  <c r="U643" i="3" l="1"/>
  <c r="Y642" i="3"/>
  <c r="T644" i="3"/>
  <c r="AG644" i="3" s="1"/>
  <c r="AH644" i="3" l="1"/>
  <c r="D644" i="3"/>
  <c r="E644" i="3"/>
  <c r="H644" i="3" s="1"/>
  <c r="K644" i="3" l="1"/>
  <c r="AE644" i="3" s="1"/>
  <c r="F644" i="3"/>
  <c r="G644" i="3"/>
  <c r="I644" i="3" l="1"/>
  <c r="J644" i="3"/>
  <c r="AD644" i="3" s="1"/>
  <c r="M644" i="3"/>
  <c r="N644" i="3" s="1"/>
  <c r="V644" i="3"/>
  <c r="A645" i="3"/>
  <c r="B645" i="3" s="1"/>
  <c r="L644" i="3" l="1"/>
  <c r="W644" i="3"/>
  <c r="Z645" i="3"/>
  <c r="P645" i="3"/>
  <c r="Q645" i="3" s="1"/>
  <c r="R645" i="3" s="1"/>
  <c r="S645" i="3" s="1"/>
  <c r="AD645" i="3"/>
  <c r="AA645" i="3"/>
  <c r="AC645" i="3"/>
  <c r="U644" i="3" l="1"/>
  <c r="Y643" i="3"/>
  <c r="T645" i="3"/>
  <c r="AG645" i="3" s="1"/>
  <c r="D645" i="3" l="1"/>
  <c r="AH645" i="3"/>
  <c r="E645" i="3"/>
  <c r="H645" i="3" s="1"/>
  <c r="F645" i="3" l="1"/>
  <c r="G645" i="3"/>
  <c r="K645" i="3"/>
  <c r="AE645" i="3" s="1"/>
  <c r="I645" i="3" l="1"/>
  <c r="J645" i="3"/>
  <c r="M645" i="3"/>
  <c r="N645" i="3" s="1"/>
  <c r="V645" i="3"/>
  <c r="A646" i="3"/>
  <c r="B646" i="3" s="1"/>
  <c r="W645" i="3" l="1"/>
  <c r="L645" i="3"/>
  <c r="AA646" i="3"/>
  <c r="Z646" i="3"/>
  <c r="AC646" i="3"/>
  <c r="AD646" i="3"/>
  <c r="P646" i="3"/>
  <c r="Q646" i="3" s="1"/>
  <c r="R646" i="3" s="1"/>
  <c r="S646" i="3" s="1"/>
  <c r="U645" i="3" l="1"/>
  <c r="Y644" i="3"/>
  <c r="T646" i="3"/>
  <c r="AG646" i="3" s="1"/>
  <c r="E646" i="3" l="1"/>
  <c r="H646" i="3" s="1"/>
  <c r="D646" i="3"/>
  <c r="AH646" i="3"/>
  <c r="F646" i="3" l="1"/>
  <c r="G646" i="3"/>
  <c r="K646" i="3"/>
  <c r="AE646" i="3" s="1"/>
  <c r="I646" i="3" l="1"/>
  <c r="J646" i="3"/>
  <c r="M646" i="3"/>
  <c r="N646" i="3" s="1"/>
  <c r="V646" i="3"/>
  <c r="A647" i="3"/>
  <c r="B647" i="3" s="1"/>
  <c r="L646" i="3" l="1"/>
  <c r="W646" i="3"/>
  <c r="P647" i="3"/>
  <c r="Q647" i="3" s="1"/>
  <c r="R647" i="3" s="1"/>
  <c r="S647" i="3" s="1"/>
  <c r="AC647" i="3"/>
  <c r="AA647" i="3"/>
  <c r="AD647" i="3"/>
  <c r="Z647" i="3"/>
  <c r="U646" i="3" l="1"/>
  <c r="Y645" i="3"/>
  <c r="T647" i="3"/>
  <c r="AG647" i="3" s="1"/>
  <c r="E647" i="3" l="1"/>
  <c r="H647" i="3" s="1"/>
  <c r="D647" i="3"/>
  <c r="AH647" i="3"/>
  <c r="F647" i="3" l="1"/>
  <c r="G647" i="3"/>
  <c r="K647" i="3"/>
  <c r="AE647" i="3" s="1"/>
  <c r="V647" i="3" l="1"/>
  <c r="A648" i="3"/>
  <c r="B648" i="3" s="1"/>
  <c r="I647" i="3"/>
  <c r="J647" i="3"/>
  <c r="M647" i="3"/>
  <c r="N647" i="3" s="1"/>
  <c r="W647" i="3" l="1"/>
  <c r="L647" i="3"/>
  <c r="AC648" i="3"/>
  <c r="AA648" i="3"/>
  <c r="P648" i="3"/>
  <c r="Q648" i="3" s="1"/>
  <c r="R648" i="3" s="1"/>
  <c r="S648" i="3" s="1"/>
  <c r="Z648" i="3"/>
  <c r="AD648" i="3"/>
  <c r="T648" i="3" l="1"/>
  <c r="AH648" i="3" s="1"/>
  <c r="U647" i="3"/>
  <c r="Y646" i="3"/>
  <c r="D648" i="3" l="1"/>
  <c r="AG648" i="3"/>
  <c r="E648" i="3"/>
  <c r="H648" i="3" s="1"/>
  <c r="F648" i="3" l="1"/>
  <c r="G648" i="3"/>
  <c r="K648" i="3"/>
  <c r="AE648" i="3" s="1"/>
  <c r="I648" i="3" l="1"/>
  <c r="J648" i="3"/>
  <c r="M648" i="3"/>
  <c r="N648" i="3" s="1"/>
  <c r="V648" i="3"/>
  <c r="A649" i="3"/>
  <c r="B649" i="3" s="1"/>
  <c r="W648" i="3" l="1"/>
  <c r="L648" i="3"/>
  <c r="AC649" i="3"/>
  <c r="AA649" i="3"/>
  <c r="AD649" i="3"/>
  <c r="P649" i="3"/>
  <c r="Q649" i="3" s="1"/>
  <c r="R649" i="3" s="1"/>
  <c r="S649" i="3" s="1"/>
  <c r="Z649" i="3"/>
  <c r="U648" i="3" l="1"/>
  <c r="Y647" i="3"/>
  <c r="T649" i="3"/>
  <c r="E649" i="3" l="1"/>
  <c r="H649" i="3" s="1"/>
  <c r="K649" i="3" s="1"/>
  <c r="AE649" i="3" s="1"/>
  <c r="D649" i="3"/>
  <c r="AH649" i="3"/>
  <c r="AG649" i="3"/>
  <c r="V649" i="3" l="1"/>
  <c r="A650" i="3"/>
  <c r="B650" i="3" s="1"/>
  <c r="F649" i="3"/>
  <c r="G649" i="3"/>
  <c r="I649" i="3" l="1"/>
  <c r="W649" i="3" s="1"/>
  <c r="J649" i="3"/>
  <c r="M649" i="3"/>
  <c r="N649" i="3" s="1"/>
  <c r="AA650" i="3"/>
  <c r="P650" i="3"/>
  <c r="Q650" i="3" s="1"/>
  <c r="R650" i="3" s="1"/>
  <c r="S650" i="3" s="1"/>
  <c r="Z650" i="3"/>
  <c r="AD650" i="3"/>
  <c r="AC650" i="3"/>
  <c r="L649" i="3" l="1"/>
  <c r="T650" i="3"/>
  <c r="U649" i="3" l="1"/>
  <c r="E650" i="3" s="1"/>
  <c r="H650" i="3" s="1"/>
  <c r="AG650" i="3"/>
  <c r="AH650" i="3"/>
  <c r="Y648" i="3"/>
  <c r="K650" i="3" l="1"/>
  <c r="AE650" i="3" s="1"/>
  <c r="D650" i="3"/>
  <c r="V650" i="3" l="1"/>
  <c r="A651" i="3"/>
  <c r="B651" i="3" s="1"/>
  <c r="F650" i="3"/>
  <c r="G650" i="3"/>
  <c r="I650" i="3" l="1"/>
  <c r="W650" i="3" s="1"/>
  <c r="J650" i="3"/>
  <c r="M650" i="3"/>
  <c r="N650" i="3" s="1"/>
  <c r="Z651" i="3"/>
  <c r="AC651" i="3"/>
  <c r="P651" i="3"/>
  <c r="Q651" i="3" s="1"/>
  <c r="R651" i="3" s="1"/>
  <c r="S651" i="3" s="1"/>
  <c r="AA651" i="3"/>
  <c r="AD651" i="3"/>
  <c r="T651" i="3" l="1"/>
  <c r="L650" i="3"/>
  <c r="AH651" i="3" l="1"/>
  <c r="U650" i="3"/>
  <c r="E651" i="3" s="1"/>
  <c r="H651" i="3" s="1"/>
  <c r="AG651" i="3"/>
  <c r="Y649" i="3"/>
  <c r="D651" i="3" l="1"/>
  <c r="G651" i="3" s="1"/>
  <c r="K651" i="3"/>
  <c r="AE651" i="3" s="1"/>
  <c r="F651" i="3" l="1"/>
  <c r="I651" i="3"/>
  <c r="J651" i="3"/>
  <c r="M651" i="3"/>
  <c r="N651" i="3" s="1"/>
  <c r="V651" i="3"/>
  <c r="A652" i="3"/>
  <c r="B652" i="3" s="1"/>
  <c r="W651" i="3" l="1"/>
  <c r="L651" i="3"/>
  <c r="P652" i="3"/>
  <c r="Q652" i="3" s="1"/>
  <c r="R652" i="3" s="1"/>
  <c r="S652" i="3" s="1"/>
  <c r="AC652" i="3"/>
  <c r="AA652" i="3"/>
  <c r="Z652" i="3"/>
  <c r="AD652" i="3"/>
  <c r="U651" i="3" l="1"/>
  <c r="Y650" i="3"/>
  <c r="T652" i="3"/>
  <c r="E652" i="3" l="1"/>
  <c r="H652" i="3" s="1"/>
  <c r="K652" i="3" s="1"/>
  <c r="AE652" i="3" s="1"/>
  <c r="AH652" i="3"/>
  <c r="AG652" i="3"/>
  <c r="D652" i="3"/>
  <c r="G652" i="3" s="1"/>
  <c r="F652" i="3" l="1"/>
  <c r="V652" i="3"/>
  <c r="A653" i="3"/>
  <c r="B653" i="3" s="1"/>
  <c r="I652" i="3"/>
  <c r="J652" i="3"/>
  <c r="M652" i="3"/>
  <c r="N652" i="3" s="1"/>
  <c r="W652" i="3" l="1"/>
  <c r="L652" i="3"/>
  <c r="Z653" i="3"/>
  <c r="AA653" i="3"/>
  <c r="P653" i="3"/>
  <c r="Q653" i="3" s="1"/>
  <c r="R653" i="3" s="1"/>
  <c r="S653" i="3" s="1"/>
  <c r="AD653" i="3"/>
  <c r="AC653" i="3"/>
  <c r="T653" i="3" l="1"/>
  <c r="AG653" i="3" s="1"/>
  <c r="U652" i="3"/>
  <c r="Y651" i="3"/>
  <c r="AH653" i="3" l="1"/>
  <c r="E653" i="3"/>
  <c r="H653" i="3" s="1"/>
  <c r="D653" i="3"/>
  <c r="K653" i="3" l="1"/>
  <c r="AE653" i="3" s="1"/>
  <c r="F653" i="3"/>
  <c r="G653" i="3"/>
  <c r="V653" i="3" l="1"/>
  <c r="A654" i="3"/>
  <c r="B654" i="3" s="1"/>
  <c r="I653" i="3"/>
  <c r="J653" i="3"/>
  <c r="M653" i="3"/>
  <c r="N653" i="3" s="1"/>
  <c r="W653" i="3" l="1"/>
  <c r="L653" i="3"/>
  <c r="Z654" i="3"/>
  <c r="P654" i="3"/>
  <c r="Q654" i="3" s="1"/>
  <c r="R654" i="3" s="1"/>
  <c r="S654" i="3" s="1"/>
  <c r="AC654" i="3"/>
  <c r="AA654" i="3"/>
  <c r="T654" i="3" l="1"/>
  <c r="AG654" i="3" s="1"/>
  <c r="U653" i="3"/>
  <c r="Y652" i="3"/>
  <c r="AH654" i="3" l="1"/>
  <c r="E654" i="3"/>
  <c r="H654" i="3" s="1"/>
  <c r="D654" i="3"/>
  <c r="K654" i="3" l="1"/>
  <c r="AE654" i="3" s="1"/>
  <c r="F654" i="3"/>
  <c r="G654" i="3"/>
  <c r="V654" i="3" l="1"/>
  <c r="A655" i="3"/>
  <c r="B655" i="3" s="1"/>
  <c r="I654" i="3"/>
  <c r="J654" i="3"/>
  <c r="AD654" i="3" s="1"/>
  <c r="M654" i="3"/>
  <c r="N654" i="3" s="1"/>
  <c r="L654" i="3" l="1"/>
  <c r="AD655" i="3"/>
  <c r="AC655" i="3"/>
  <c r="P655" i="3"/>
  <c r="Q655" i="3" s="1"/>
  <c r="R655" i="3" s="1"/>
  <c r="S655" i="3" s="1"/>
  <c r="Z655" i="3"/>
  <c r="AA655" i="3"/>
  <c r="W654" i="3"/>
  <c r="U654" i="3" l="1"/>
  <c r="Y653" i="3"/>
  <c r="T655" i="3"/>
  <c r="AH655" i="3" s="1"/>
  <c r="AG655" i="3" l="1"/>
  <c r="D655" i="3"/>
  <c r="E655" i="3"/>
  <c r="H655" i="3" s="1"/>
  <c r="K655" i="3" l="1"/>
  <c r="AE655" i="3" s="1"/>
  <c r="F655" i="3"/>
  <c r="G655" i="3"/>
  <c r="V655" i="3" l="1"/>
  <c r="A656" i="3"/>
  <c r="B656" i="3" s="1"/>
  <c r="I655" i="3"/>
  <c r="J655" i="3"/>
  <c r="M655" i="3"/>
  <c r="N655" i="3" s="1"/>
  <c r="W655" i="3" l="1"/>
  <c r="L655" i="3"/>
  <c r="Z656" i="3"/>
  <c r="AA656" i="3"/>
  <c r="AD656" i="3"/>
  <c r="AC656" i="3"/>
  <c r="P656" i="3"/>
  <c r="Q656" i="3" s="1"/>
  <c r="R656" i="3" s="1"/>
  <c r="S656" i="3" s="1"/>
  <c r="T656" i="3" l="1"/>
  <c r="U655" i="3"/>
  <c r="Y654" i="3"/>
  <c r="E656" i="3" l="1"/>
  <c r="H656" i="3" s="1"/>
  <c r="K656" i="3" s="1"/>
  <c r="AE656" i="3" s="1"/>
  <c r="AH656" i="3"/>
  <c r="D656" i="3"/>
  <c r="AG656" i="3"/>
  <c r="F656" i="3" l="1"/>
  <c r="G656" i="3"/>
  <c r="V656" i="3"/>
  <c r="A657" i="3"/>
  <c r="B657" i="3" s="1"/>
  <c r="I656" i="3" l="1"/>
  <c r="W656" i="3" s="1"/>
  <c r="J656" i="3"/>
  <c r="M656" i="3"/>
  <c r="N656" i="3" s="1"/>
  <c r="AC657" i="3"/>
  <c r="AD657" i="3"/>
  <c r="P657" i="3"/>
  <c r="Q657" i="3" s="1"/>
  <c r="R657" i="3" s="1"/>
  <c r="S657" i="3" s="1"/>
  <c r="AA657" i="3"/>
  <c r="Z657" i="3"/>
  <c r="L656" i="3" l="1"/>
  <c r="T657" i="3"/>
  <c r="AH657" i="3" l="1"/>
  <c r="U656" i="3"/>
  <c r="E657" i="3" s="1"/>
  <c r="H657" i="3" s="1"/>
  <c r="AG657" i="3"/>
  <c r="Y655" i="3"/>
  <c r="D657" i="3" l="1"/>
  <c r="G657" i="3" s="1"/>
  <c r="K657" i="3"/>
  <c r="AE657" i="3" s="1"/>
  <c r="F657" i="3" l="1"/>
  <c r="I657" i="3"/>
  <c r="J657" i="3"/>
  <c r="M657" i="3"/>
  <c r="N657" i="3" s="1"/>
  <c r="V657" i="3"/>
  <c r="A658" i="3"/>
  <c r="B658" i="3" s="1"/>
  <c r="W657" i="3" l="1"/>
  <c r="L657" i="3"/>
  <c r="AC658" i="3"/>
  <c r="Z658" i="3"/>
  <c r="AD658" i="3"/>
  <c r="AA658" i="3"/>
  <c r="P658" i="3"/>
  <c r="Q658" i="3" s="1"/>
  <c r="R658" i="3" s="1"/>
  <c r="S658" i="3" s="1"/>
  <c r="U657" i="3" l="1"/>
  <c r="Y656" i="3"/>
  <c r="T658" i="3"/>
  <c r="AG658" i="3" s="1"/>
  <c r="E658" i="3" l="1"/>
  <c r="H658" i="3" s="1"/>
  <c r="D658" i="3"/>
  <c r="AH658" i="3"/>
  <c r="K658" i="3" l="1"/>
  <c r="AE658" i="3" s="1"/>
  <c r="F658" i="3"/>
  <c r="G658" i="3"/>
  <c r="I658" i="3" l="1"/>
  <c r="J658" i="3"/>
  <c r="M658" i="3"/>
  <c r="N658" i="3" s="1"/>
  <c r="V658" i="3"/>
  <c r="A659" i="3"/>
  <c r="B659" i="3" s="1"/>
  <c r="W658" i="3" l="1"/>
  <c r="L658" i="3"/>
  <c r="AA659" i="3"/>
  <c r="P659" i="3"/>
  <c r="Q659" i="3" s="1"/>
  <c r="R659" i="3" s="1"/>
  <c r="S659" i="3" s="1"/>
  <c r="Z659" i="3"/>
  <c r="AD659" i="3"/>
  <c r="AC659" i="3"/>
  <c r="U658" i="3" l="1"/>
  <c r="Y657" i="3"/>
  <c r="T659" i="3"/>
  <c r="AH659" i="3" s="1"/>
  <c r="E659" i="3" l="1"/>
  <c r="H659" i="3" s="1"/>
  <c r="K659" i="3" s="1"/>
  <c r="AE659" i="3" s="1"/>
  <c r="AG659" i="3"/>
  <c r="D659" i="3"/>
  <c r="G659" i="3" s="1"/>
  <c r="F659" i="3" l="1"/>
  <c r="I659" i="3"/>
  <c r="J659" i="3"/>
  <c r="M659" i="3"/>
  <c r="N659" i="3" s="1"/>
  <c r="V659" i="3"/>
  <c r="A660" i="3"/>
  <c r="B660" i="3" s="1"/>
  <c r="W659" i="3" l="1"/>
  <c r="L659" i="3"/>
  <c r="AA660" i="3"/>
  <c r="P660" i="3"/>
  <c r="Q660" i="3" s="1"/>
  <c r="R660" i="3" s="1"/>
  <c r="S660" i="3" s="1"/>
  <c r="AC660" i="3"/>
  <c r="AD660" i="3"/>
  <c r="Z660" i="3"/>
  <c r="T660" i="3" l="1"/>
  <c r="AH660" i="3" s="1"/>
  <c r="U659" i="3"/>
  <c r="Y658" i="3"/>
  <c r="AG660" i="3" l="1"/>
  <c r="D660" i="3"/>
  <c r="E660" i="3"/>
  <c r="H660" i="3" s="1"/>
  <c r="K660" i="3" l="1"/>
  <c r="AE660" i="3" s="1"/>
  <c r="F660" i="3"/>
  <c r="G660" i="3"/>
  <c r="I660" i="3" l="1"/>
  <c r="J660" i="3"/>
  <c r="M660" i="3"/>
  <c r="N660" i="3" s="1"/>
  <c r="V660" i="3"/>
  <c r="A661" i="3"/>
  <c r="B661" i="3" s="1"/>
  <c r="L660" i="3" l="1"/>
  <c r="W660" i="3"/>
  <c r="Z661" i="3"/>
  <c r="P661" i="3"/>
  <c r="Q661" i="3" s="1"/>
  <c r="R661" i="3" s="1"/>
  <c r="S661" i="3" s="1"/>
  <c r="AA661" i="3"/>
  <c r="AD661" i="3"/>
  <c r="AC661" i="3"/>
  <c r="T661" i="3" l="1"/>
  <c r="U660" i="3"/>
  <c r="Y659" i="3"/>
  <c r="E661" i="3" l="1"/>
  <c r="H661" i="3" s="1"/>
  <c r="K661" i="3" s="1"/>
  <c r="AE661" i="3" s="1"/>
  <c r="D661" i="3"/>
  <c r="AH661" i="3"/>
  <c r="AG661" i="3"/>
  <c r="V661" i="3" l="1"/>
  <c r="A662" i="3"/>
  <c r="B662" i="3" s="1"/>
  <c r="F661" i="3"/>
  <c r="G661" i="3"/>
  <c r="I661" i="3" l="1"/>
  <c r="W661" i="3" s="1"/>
  <c r="J661" i="3"/>
  <c r="M661" i="3"/>
  <c r="N661" i="3" s="1"/>
  <c r="P662" i="3"/>
  <c r="Q662" i="3" s="1"/>
  <c r="R662" i="3" s="1"/>
  <c r="S662" i="3" s="1"/>
  <c r="Z662" i="3"/>
  <c r="AD662" i="3"/>
  <c r="AA662" i="3"/>
  <c r="AC662" i="3"/>
  <c r="T662" i="3" l="1"/>
  <c r="L661" i="3"/>
  <c r="AH662" i="3" l="1"/>
  <c r="AG662" i="3"/>
  <c r="U661" i="3"/>
  <c r="E662" i="3" s="1"/>
  <c r="H662" i="3" s="1"/>
  <c r="Y660" i="3"/>
  <c r="D662" i="3" l="1"/>
  <c r="F662" i="3" s="1"/>
  <c r="K662" i="3"/>
  <c r="AE662" i="3" s="1"/>
  <c r="G662" i="3" l="1"/>
  <c r="I662" i="3" s="1"/>
  <c r="V662" i="3"/>
  <c r="A663" i="3"/>
  <c r="B663" i="3" s="1"/>
  <c r="J662" i="3" l="1"/>
  <c r="L662" i="3" s="1"/>
  <c r="M662" i="3"/>
  <c r="N662" i="3" s="1"/>
  <c r="W662" i="3"/>
  <c r="AA663" i="3"/>
  <c r="Z663" i="3"/>
  <c r="P663" i="3"/>
  <c r="Q663" i="3" s="1"/>
  <c r="R663" i="3" s="1"/>
  <c r="S663" i="3" s="1"/>
  <c r="AC663" i="3"/>
  <c r="AD663" i="3"/>
  <c r="U662" i="3" l="1"/>
  <c r="Y661" i="3"/>
  <c r="T663" i="3"/>
  <c r="E663" i="3" l="1"/>
  <c r="H663" i="3" s="1"/>
  <c r="K663" i="3" s="1"/>
  <c r="AE663" i="3" s="1"/>
  <c r="AG663" i="3"/>
  <c r="AH663" i="3"/>
  <c r="D663" i="3"/>
  <c r="F663" i="3" l="1"/>
  <c r="G663" i="3"/>
  <c r="V663" i="3"/>
  <c r="A664" i="3"/>
  <c r="B664" i="3" s="1"/>
  <c r="P664" i="3" l="1"/>
  <c r="Q664" i="3" s="1"/>
  <c r="R664" i="3" s="1"/>
  <c r="S664" i="3" s="1"/>
  <c r="AA664" i="3"/>
  <c r="AC664" i="3"/>
  <c r="Z664" i="3"/>
  <c r="I663" i="3"/>
  <c r="W663" i="3" s="1"/>
  <c r="J663" i="3"/>
  <c r="M663" i="3"/>
  <c r="N663" i="3" s="1"/>
  <c r="T664" i="3" l="1"/>
  <c r="L663" i="3"/>
  <c r="AH664" i="3" l="1"/>
  <c r="U663" i="3"/>
  <c r="E664" i="3" s="1"/>
  <c r="H664" i="3" s="1"/>
  <c r="AG664" i="3"/>
  <c r="Y662" i="3"/>
  <c r="D664" i="3" l="1"/>
  <c r="G664" i="3" s="1"/>
  <c r="K664" i="3"/>
  <c r="AE664" i="3" s="1"/>
  <c r="F664" i="3" l="1"/>
  <c r="I664" i="3"/>
  <c r="J664" i="3"/>
  <c r="AD664" i="3" s="1"/>
  <c r="M664" i="3"/>
  <c r="N664" i="3" s="1"/>
  <c r="V664" i="3"/>
  <c r="A665" i="3"/>
  <c r="B665" i="3" s="1"/>
  <c r="W664" i="3" l="1"/>
  <c r="L664" i="3"/>
  <c r="AC665" i="3"/>
  <c r="P665" i="3"/>
  <c r="Q665" i="3" s="1"/>
  <c r="R665" i="3" s="1"/>
  <c r="S665" i="3" s="1"/>
  <c r="AA665" i="3"/>
  <c r="Z665" i="3"/>
  <c r="AD665" i="3"/>
  <c r="U664" i="3" l="1"/>
  <c r="Y663" i="3"/>
  <c r="T665" i="3"/>
  <c r="D665" i="3" l="1"/>
  <c r="G665" i="3" s="1"/>
  <c r="AG665" i="3"/>
  <c r="E665" i="3"/>
  <c r="H665" i="3" s="1"/>
  <c r="AH665" i="3"/>
  <c r="F665" i="3" l="1"/>
  <c r="I665" i="3"/>
  <c r="J665" i="3"/>
  <c r="M665" i="3"/>
  <c r="N665" i="3" s="1"/>
  <c r="K665" i="3"/>
  <c r="AE665" i="3" s="1"/>
  <c r="L665" i="3" l="1"/>
  <c r="V665" i="3"/>
  <c r="W665" i="3" s="1"/>
  <c r="A666" i="3"/>
  <c r="B666" i="3" s="1"/>
  <c r="U665" i="3" l="1"/>
  <c r="Y664" i="3"/>
  <c r="AA666" i="3"/>
  <c r="AD666" i="3"/>
  <c r="P666" i="3"/>
  <c r="Q666" i="3" s="1"/>
  <c r="R666" i="3" s="1"/>
  <c r="S666" i="3" s="1"/>
  <c r="Z666" i="3"/>
  <c r="AC666" i="3"/>
  <c r="T666" i="3" l="1"/>
  <c r="D666" i="3" s="1"/>
  <c r="AG666" i="3" l="1"/>
  <c r="E666" i="3"/>
  <c r="H666" i="3" s="1"/>
  <c r="K666" i="3" s="1"/>
  <c r="AE666" i="3" s="1"/>
  <c r="AH666" i="3"/>
  <c r="G666" i="3"/>
  <c r="F666" i="3" l="1"/>
  <c r="I666" i="3"/>
  <c r="J666" i="3"/>
  <c r="M666" i="3"/>
  <c r="N666" i="3" s="1"/>
  <c r="V666" i="3"/>
  <c r="A667" i="3"/>
  <c r="B667" i="3" s="1"/>
  <c r="L666" i="3" l="1"/>
  <c r="W666" i="3"/>
  <c r="AC667" i="3"/>
  <c r="Z667" i="3"/>
  <c r="P667" i="3"/>
  <c r="Q667" i="3" s="1"/>
  <c r="R667" i="3" s="1"/>
  <c r="S667" i="3" s="1"/>
  <c r="AD667" i="3"/>
  <c r="AA667" i="3"/>
  <c r="U666" i="3" l="1"/>
  <c r="Y665" i="3"/>
  <c r="T667" i="3"/>
  <c r="AG667" i="3" s="1"/>
  <c r="D667" i="3" l="1"/>
  <c r="E667" i="3"/>
  <c r="H667" i="3" s="1"/>
  <c r="AH667" i="3"/>
  <c r="F667" i="3" l="1"/>
  <c r="G667" i="3"/>
  <c r="K667" i="3"/>
  <c r="AE667" i="3" s="1"/>
  <c r="I667" i="3" l="1"/>
  <c r="J667" i="3"/>
  <c r="M667" i="3"/>
  <c r="N667" i="3" s="1"/>
  <c r="V667" i="3"/>
  <c r="A668" i="3"/>
  <c r="B668" i="3" s="1"/>
  <c r="W667" i="3" l="1"/>
  <c r="L667" i="3"/>
  <c r="Z668" i="3"/>
  <c r="P668" i="3"/>
  <c r="Q668" i="3" s="1"/>
  <c r="R668" i="3" s="1"/>
  <c r="S668" i="3" s="1"/>
  <c r="AD668" i="3"/>
  <c r="AC668" i="3"/>
  <c r="AA668" i="3"/>
  <c r="T668" i="3" l="1"/>
  <c r="AH668" i="3" s="1"/>
  <c r="U667" i="3"/>
  <c r="Y666" i="3"/>
  <c r="D668" i="3" l="1"/>
  <c r="G668" i="3" s="1"/>
  <c r="AG668" i="3"/>
  <c r="E668" i="3"/>
  <c r="H668" i="3" s="1"/>
  <c r="F668" i="3" l="1"/>
  <c r="I668" i="3"/>
  <c r="J668" i="3"/>
  <c r="M668" i="3"/>
  <c r="N668" i="3" s="1"/>
  <c r="K668" i="3"/>
  <c r="AE668" i="3" s="1"/>
  <c r="L668" i="3" l="1"/>
  <c r="V668" i="3"/>
  <c r="W668" i="3" s="1"/>
  <c r="A669" i="3"/>
  <c r="B669" i="3" s="1"/>
  <c r="AA669" i="3" l="1"/>
  <c r="P669" i="3"/>
  <c r="Q669" i="3" s="1"/>
  <c r="R669" i="3" s="1"/>
  <c r="S669" i="3" s="1"/>
  <c r="AD669" i="3"/>
  <c r="AC669" i="3"/>
  <c r="Z669" i="3"/>
  <c r="U668" i="3"/>
  <c r="Y667" i="3"/>
  <c r="T669" i="3" l="1"/>
  <c r="AH669" i="3" l="1"/>
  <c r="AG669" i="3"/>
  <c r="D669" i="3"/>
  <c r="E669" i="3"/>
  <c r="H669" i="3" s="1"/>
  <c r="F669" i="3" l="1"/>
  <c r="G669" i="3"/>
  <c r="K669" i="3"/>
  <c r="AE669" i="3" s="1"/>
  <c r="V669" i="3" l="1"/>
  <c r="A670" i="3"/>
  <c r="B670" i="3" s="1"/>
  <c r="I669" i="3"/>
  <c r="J669" i="3"/>
  <c r="M669" i="3"/>
  <c r="N669" i="3" s="1"/>
  <c r="L669" i="3" l="1"/>
  <c r="W669" i="3"/>
  <c r="AD670" i="3"/>
  <c r="P670" i="3"/>
  <c r="Q670" i="3" s="1"/>
  <c r="R670" i="3" s="1"/>
  <c r="S670" i="3" s="1"/>
  <c r="AA670" i="3"/>
  <c r="Z670" i="3"/>
  <c r="AC670" i="3"/>
  <c r="T670" i="3" l="1"/>
  <c r="U669" i="3"/>
  <c r="Y668" i="3"/>
  <c r="E670" i="3" l="1"/>
  <c r="H670" i="3" s="1"/>
  <c r="K670" i="3" s="1"/>
  <c r="AE670" i="3" s="1"/>
  <c r="AH670" i="3"/>
  <c r="AG670" i="3"/>
  <c r="D670" i="3"/>
  <c r="V670" i="3" l="1"/>
  <c r="A671" i="3"/>
  <c r="B671" i="3" s="1"/>
  <c r="F670" i="3"/>
  <c r="G670" i="3"/>
  <c r="I670" i="3" l="1"/>
  <c r="W670" i="3" s="1"/>
  <c r="J670" i="3"/>
  <c r="M670" i="3"/>
  <c r="N670" i="3" s="1"/>
  <c r="AC671" i="3"/>
  <c r="Z671" i="3"/>
  <c r="AD671" i="3"/>
  <c r="AA671" i="3"/>
  <c r="P671" i="3"/>
  <c r="Q671" i="3" s="1"/>
  <c r="R671" i="3" s="1"/>
  <c r="S671" i="3" s="1"/>
  <c r="T671" i="3" l="1"/>
  <c r="L670" i="3"/>
  <c r="U670" i="3" l="1"/>
  <c r="E671" i="3" s="1"/>
  <c r="H671" i="3" s="1"/>
  <c r="AG671" i="3"/>
  <c r="AH671" i="3"/>
  <c r="Y669" i="3"/>
  <c r="D671" i="3" l="1"/>
  <c r="G671" i="3" s="1"/>
  <c r="K671" i="3"/>
  <c r="AE671" i="3" s="1"/>
  <c r="F671" i="3" l="1"/>
  <c r="V671" i="3"/>
  <c r="A672" i="3"/>
  <c r="B672" i="3" s="1"/>
  <c r="I671" i="3"/>
  <c r="J671" i="3"/>
  <c r="M671" i="3"/>
  <c r="N671" i="3" s="1"/>
  <c r="W671" i="3" l="1"/>
  <c r="L671" i="3"/>
  <c r="AD672" i="3"/>
  <c r="P672" i="3"/>
  <c r="Q672" i="3" s="1"/>
  <c r="R672" i="3" s="1"/>
  <c r="S672" i="3" s="1"/>
  <c r="AC672" i="3"/>
  <c r="Z672" i="3"/>
  <c r="AA672" i="3"/>
  <c r="T672" i="3" l="1"/>
  <c r="AG672" i="3" s="1"/>
  <c r="U671" i="3"/>
  <c r="Y670" i="3"/>
  <c r="E672" i="3" l="1"/>
  <c r="H672" i="3" s="1"/>
  <c r="K672" i="3" s="1"/>
  <c r="AE672" i="3" s="1"/>
  <c r="D672" i="3"/>
  <c r="AH672" i="3"/>
  <c r="F672" i="3" l="1"/>
  <c r="G672" i="3"/>
  <c r="V672" i="3"/>
  <c r="A673" i="3"/>
  <c r="B673" i="3" s="1"/>
  <c r="AC673" i="3" l="1"/>
  <c r="AA673" i="3"/>
  <c r="P673" i="3"/>
  <c r="Q673" i="3" s="1"/>
  <c r="R673" i="3" s="1"/>
  <c r="S673" i="3" s="1"/>
  <c r="AD673" i="3"/>
  <c r="Z673" i="3"/>
  <c r="I672" i="3"/>
  <c r="W672" i="3" s="1"/>
  <c r="J672" i="3"/>
  <c r="M672" i="3"/>
  <c r="N672" i="3" s="1"/>
  <c r="L672" i="3" l="1"/>
  <c r="T673" i="3"/>
  <c r="AH673" i="3" l="1"/>
  <c r="AG673" i="3"/>
  <c r="U672" i="3"/>
  <c r="E673" i="3" s="1"/>
  <c r="H673" i="3" s="1"/>
  <c r="Y671" i="3"/>
  <c r="K673" i="3" l="1"/>
  <c r="AE673" i="3" s="1"/>
  <c r="D673" i="3"/>
  <c r="V673" i="3" l="1"/>
  <c r="A674" i="3"/>
  <c r="B674" i="3" s="1"/>
  <c r="F673" i="3"/>
  <c r="G673" i="3"/>
  <c r="I673" i="3" l="1"/>
  <c r="W673" i="3" s="1"/>
  <c r="J673" i="3"/>
  <c r="M673" i="3"/>
  <c r="N673" i="3" s="1"/>
  <c r="P674" i="3"/>
  <c r="Q674" i="3" s="1"/>
  <c r="R674" i="3" s="1"/>
  <c r="S674" i="3" s="1"/>
  <c r="AA674" i="3"/>
  <c r="Z674" i="3"/>
  <c r="AC674" i="3"/>
  <c r="T674" i="3" l="1"/>
  <c r="L673" i="3"/>
  <c r="AH674" i="3" l="1"/>
  <c r="U673" i="3"/>
  <c r="E674" i="3" s="1"/>
  <c r="H674" i="3" s="1"/>
  <c r="AG674" i="3"/>
  <c r="Y672" i="3"/>
  <c r="D674" i="3" l="1"/>
  <c r="G674" i="3" s="1"/>
  <c r="K674" i="3"/>
  <c r="AE674" i="3" s="1"/>
  <c r="F674" i="3" l="1"/>
  <c r="I674" i="3"/>
  <c r="J674" i="3"/>
  <c r="AD674" i="3" s="1"/>
  <c r="M674" i="3"/>
  <c r="N674" i="3" s="1"/>
  <c r="V674" i="3"/>
  <c r="A675" i="3"/>
  <c r="B675" i="3" s="1"/>
  <c r="W674" i="3" l="1"/>
  <c r="L674" i="3"/>
  <c r="P675" i="3"/>
  <c r="Q675" i="3" s="1"/>
  <c r="R675" i="3" s="1"/>
  <c r="S675" i="3" s="1"/>
  <c r="AD675" i="3"/>
  <c r="AA675" i="3"/>
  <c r="AC675" i="3"/>
  <c r="Z675" i="3"/>
  <c r="U674" i="3" l="1"/>
  <c r="Y673" i="3"/>
  <c r="T675" i="3"/>
  <c r="AH675" i="3" s="1"/>
  <c r="AG675" i="3" l="1"/>
  <c r="D675" i="3"/>
  <c r="E675" i="3"/>
  <c r="H675" i="3" s="1"/>
  <c r="F675" i="3" l="1"/>
  <c r="G675" i="3"/>
  <c r="K675" i="3"/>
  <c r="AE675" i="3" s="1"/>
  <c r="I675" i="3" l="1"/>
  <c r="J675" i="3"/>
  <c r="M675" i="3"/>
  <c r="N675" i="3" s="1"/>
  <c r="V675" i="3"/>
  <c r="A676" i="3"/>
  <c r="B676" i="3" s="1"/>
  <c r="W675" i="3" l="1"/>
  <c r="L675" i="3"/>
  <c r="AD676" i="3"/>
  <c r="AC676" i="3"/>
  <c r="P676" i="3"/>
  <c r="Q676" i="3" s="1"/>
  <c r="R676" i="3" s="1"/>
  <c r="S676" i="3" s="1"/>
  <c r="Z676" i="3"/>
  <c r="AA676" i="3"/>
  <c r="T676" i="3" l="1"/>
  <c r="U675" i="3"/>
  <c r="Y674" i="3"/>
  <c r="E676" i="3" l="1"/>
  <c r="H676" i="3" s="1"/>
  <c r="K676" i="3" s="1"/>
  <c r="AE676" i="3" s="1"/>
  <c r="AH676" i="3"/>
  <c r="D676" i="3"/>
  <c r="G676" i="3" s="1"/>
  <c r="AG676" i="3"/>
  <c r="F676" i="3" l="1"/>
  <c r="I676" i="3"/>
  <c r="J676" i="3"/>
  <c r="M676" i="3"/>
  <c r="N676" i="3" s="1"/>
  <c r="V676" i="3"/>
  <c r="A677" i="3"/>
  <c r="B677" i="3" s="1"/>
  <c r="W676" i="3" l="1"/>
  <c r="L676" i="3"/>
  <c r="AA677" i="3"/>
  <c r="AC677" i="3"/>
  <c r="Z677" i="3"/>
  <c r="AD677" i="3"/>
  <c r="P677" i="3"/>
  <c r="Q677" i="3" s="1"/>
  <c r="R677" i="3" s="1"/>
  <c r="S677" i="3" s="1"/>
  <c r="U676" i="3" l="1"/>
  <c r="Y675" i="3"/>
  <c r="T677" i="3"/>
  <c r="AG677" i="3" s="1"/>
  <c r="D677" i="3" l="1"/>
  <c r="G677" i="3" s="1"/>
  <c r="AH677" i="3"/>
  <c r="E677" i="3"/>
  <c r="H677" i="3" s="1"/>
  <c r="F677" i="3" l="1"/>
  <c r="I677" i="3"/>
  <c r="J677" i="3"/>
  <c r="M677" i="3"/>
  <c r="N677" i="3" s="1"/>
  <c r="K677" i="3"/>
  <c r="AE677" i="3" s="1"/>
  <c r="V677" i="3" l="1"/>
  <c r="W677" i="3" s="1"/>
  <c r="A678" i="3"/>
  <c r="B678" i="3" s="1"/>
  <c r="L677" i="3"/>
  <c r="U677" i="3" l="1"/>
  <c r="Y676" i="3"/>
  <c r="AD678" i="3"/>
  <c r="P678" i="3"/>
  <c r="Q678" i="3" s="1"/>
  <c r="R678" i="3" s="1"/>
  <c r="S678" i="3" s="1"/>
  <c r="Z678" i="3"/>
  <c r="AC678" i="3"/>
  <c r="AA678" i="3"/>
  <c r="T678" i="3" l="1"/>
  <c r="AH678" i="3" s="1"/>
  <c r="E678" i="3" l="1"/>
  <c r="H678" i="3" s="1"/>
  <c r="K678" i="3" s="1"/>
  <c r="AE678" i="3" s="1"/>
  <c r="D678" i="3"/>
  <c r="AG678" i="3"/>
  <c r="F678" i="3" l="1"/>
  <c r="G678" i="3"/>
  <c r="J678" i="3" s="1"/>
  <c r="V678" i="3"/>
  <c r="A679" i="3"/>
  <c r="B679" i="3" s="1"/>
  <c r="M678" i="3" l="1"/>
  <c r="N678" i="3" s="1"/>
  <c r="I678" i="3"/>
  <c r="W678" i="3" s="1"/>
  <c r="L678" i="3"/>
  <c r="P679" i="3"/>
  <c r="Q679" i="3" s="1"/>
  <c r="R679" i="3" s="1"/>
  <c r="S679" i="3" s="1"/>
  <c r="AA679" i="3"/>
  <c r="Z679" i="3"/>
  <c r="AD679" i="3"/>
  <c r="AC679" i="3"/>
  <c r="T679" i="3" l="1"/>
  <c r="U678" i="3"/>
  <c r="Y677" i="3"/>
  <c r="E679" i="3" l="1"/>
  <c r="H679" i="3" s="1"/>
  <c r="K679" i="3" s="1"/>
  <c r="AE679" i="3" s="1"/>
  <c r="AH679" i="3"/>
  <c r="AG679" i="3"/>
  <c r="D679" i="3"/>
  <c r="F679" i="3" l="1"/>
  <c r="G679" i="3"/>
  <c r="V679" i="3"/>
  <c r="A680" i="3"/>
  <c r="B680" i="3" s="1"/>
  <c r="AC680" i="3" l="1"/>
  <c r="P680" i="3"/>
  <c r="Q680" i="3" s="1"/>
  <c r="R680" i="3" s="1"/>
  <c r="S680" i="3" s="1"/>
  <c r="AA680" i="3"/>
  <c r="Z680" i="3"/>
  <c r="AD680" i="3"/>
  <c r="I679" i="3"/>
  <c r="W679" i="3" s="1"/>
  <c r="J679" i="3"/>
  <c r="M679" i="3"/>
  <c r="N679" i="3" s="1"/>
  <c r="L679" i="3" l="1"/>
  <c r="T680" i="3"/>
  <c r="AH680" i="3" l="1"/>
  <c r="U679" i="3"/>
  <c r="E680" i="3" s="1"/>
  <c r="H680" i="3" s="1"/>
  <c r="AG680" i="3"/>
  <c r="Y678" i="3"/>
  <c r="D680" i="3" l="1"/>
  <c r="G680" i="3" s="1"/>
  <c r="K680" i="3"/>
  <c r="AE680" i="3" s="1"/>
  <c r="F680" i="3" l="1"/>
  <c r="I680" i="3"/>
  <c r="J680" i="3"/>
  <c r="M680" i="3"/>
  <c r="N680" i="3" s="1"/>
  <c r="V680" i="3"/>
  <c r="A681" i="3"/>
  <c r="B681" i="3" s="1"/>
  <c r="W680" i="3" l="1"/>
  <c r="L680" i="3"/>
  <c r="AD681" i="3"/>
  <c r="AA681" i="3"/>
  <c r="P681" i="3"/>
  <c r="Q681" i="3" s="1"/>
  <c r="R681" i="3" s="1"/>
  <c r="S681" i="3" s="1"/>
  <c r="Z681" i="3"/>
  <c r="AC681" i="3"/>
  <c r="U680" i="3" l="1"/>
  <c r="Y679" i="3"/>
  <c r="T681" i="3"/>
  <c r="E681" i="3" l="1"/>
  <c r="H681" i="3" s="1"/>
  <c r="K681" i="3" s="1"/>
  <c r="AE681" i="3" s="1"/>
  <c r="AG681" i="3"/>
  <c r="AH681" i="3"/>
  <c r="D681" i="3"/>
  <c r="F681" i="3" l="1"/>
  <c r="G681" i="3"/>
  <c r="V681" i="3"/>
  <c r="A682" i="3"/>
  <c r="B682" i="3" s="1"/>
  <c r="AD682" i="3" l="1"/>
  <c r="Z682" i="3"/>
  <c r="P682" i="3"/>
  <c r="Q682" i="3" s="1"/>
  <c r="R682" i="3" s="1"/>
  <c r="S682" i="3" s="1"/>
  <c r="AC682" i="3"/>
  <c r="AA682" i="3"/>
  <c r="I681" i="3"/>
  <c r="W681" i="3" s="1"/>
  <c r="J681" i="3"/>
  <c r="M681" i="3"/>
  <c r="N681" i="3" s="1"/>
  <c r="L681" i="3" l="1"/>
  <c r="T682" i="3"/>
  <c r="U681" i="3" l="1"/>
  <c r="E682" i="3" s="1"/>
  <c r="H682" i="3" s="1"/>
  <c r="AG682" i="3"/>
  <c r="AH682" i="3"/>
  <c r="Y680" i="3"/>
  <c r="D682" i="3" l="1"/>
  <c r="G682" i="3" s="1"/>
  <c r="K682" i="3"/>
  <c r="AE682" i="3" s="1"/>
  <c r="F682" i="3" l="1"/>
  <c r="V682" i="3"/>
  <c r="A683" i="3"/>
  <c r="B683" i="3" s="1"/>
  <c r="I682" i="3"/>
  <c r="J682" i="3"/>
  <c r="M682" i="3"/>
  <c r="N682" i="3" s="1"/>
  <c r="W682" i="3" l="1"/>
  <c r="L682" i="3"/>
  <c r="P683" i="3"/>
  <c r="Q683" i="3" s="1"/>
  <c r="R683" i="3" s="1"/>
  <c r="S683" i="3" s="1"/>
  <c r="AC683" i="3"/>
  <c r="AD683" i="3"/>
  <c r="AA683" i="3"/>
  <c r="Z683" i="3"/>
  <c r="U682" i="3" l="1"/>
  <c r="Y681" i="3"/>
  <c r="T683" i="3"/>
  <c r="E683" i="3" l="1"/>
  <c r="H683" i="3" s="1"/>
  <c r="K683" i="3" s="1"/>
  <c r="AE683" i="3" s="1"/>
  <c r="AH683" i="3"/>
  <c r="AG683" i="3"/>
  <c r="D683" i="3"/>
  <c r="F683" i="3" l="1"/>
  <c r="G683" i="3"/>
  <c r="V683" i="3"/>
  <c r="A684" i="3"/>
  <c r="B684" i="3" s="1"/>
  <c r="Z684" i="3" l="1"/>
  <c r="AA684" i="3"/>
  <c r="AC684" i="3"/>
  <c r="P684" i="3"/>
  <c r="Q684" i="3" s="1"/>
  <c r="R684" i="3" s="1"/>
  <c r="S684" i="3" s="1"/>
  <c r="I683" i="3"/>
  <c r="W683" i="3" s="1"/>
  <c r="J683" i="3"/>
  <c r="M683" i="3"/>
  <c r="N683" i="3" s="1"/>
  <c r="T684" i="3" l="1"/>
  <c r="L683" i="3"/>
  <c r="AH684" i="3" l="1"/>
  <c r="AG684" i="3"/>
  <c r="U683" i="3"/>
  <c r="D684" i="3" s="1"/>
  <c r="Y682" i="3"/>
  <c r="E684" i="3" l="1"/>
  <c r="H684" i="3" s="1"/>
  <c r="K684" i="3" s="1"/>
  <c r="AE684" i="3" s="1"/>
  <c r="G684" i="3"/>
  <c r="F684" i="3" l="1"/>
  <c r="V684" i="3"/>
  <c r="A685" i="3"/>
  <c r="B685" i="3" s="1"/>
  <c r="I684" i="3"/>
  <c r="J684" i="3"/>
  <c r="AD684" i="3" s="1"/>
  <c r="M684" i="3"/>
  <c r="N684" i="3" s="1"/>
  <c r="W684" i="3" l="1"/>
  <c r="L684" i="3"/>
  <c r="P685" i="3"/>
  <c r="Q685" i="3" s="1"/>
  <c r="R685" i="3" s="1"/>
  <c r="S685" i="3" s="1"/>
  <c r="Z685" i="3"/>
  <c r="AC685" i="3"/>
  <c r="AD685" i="3"/>
  <c r="AA685" i="3"/>
  <c r="U684" i="3" l="1"/>
  <c r="Y683" i="3"/>
  <c r="T685" i="3"/>
  <c r="AG685" i="3" s="1"/>
  <c r="D685" i="3" l="1"/>
  <c r="G685" i="3" s="1"/>
  <c r="E685" i="3"/>
  <c r="H685" i="3" s="1"/>
  <c r="AH685" i="3"/>
  <c r="F685" i="3" l="1"/>
  <c r="I685" i="3"/>
  <c r="J685" i="3"/>
  <c r="M685" i="3"/>
  <c r="N685" i="3" s="1"/>
  <c r="K685" i="3"/>
  <c r="AE685" i="3" s="1"/>
  <c r="V685" i="3" l="1"/>
  <c r="W685" i="3" s="1"/>
  <c r="A686" i="3"/>
  <c r="B686" i="3" s="1"/>
  <c r="L685" i="3"/>
  <c r="U685" i="3" l="1"/>
  <c r="Y684" i="3"/>
  <c r="AA686" i="3"/>
  <c r="AC686" i="3"/>
  <c r="AD686" i="3"/>
  <c r="P686" i="3"/>
  <c r="Q686" i="3" s="1"/>
  <c r="R686" i="3" s="1"/>
  <c r="S686" i="3" s="1"/>
  <c r="Z686" i="3"/>
  <c r="T686" i="3" l="1"/>
  <c r="D686" i="3" s="1"/>
  <c r="E686" i="3" l="1"/>
  <c r="H686" i="3" s="1"/>
  <c r="K686" i="3" s="1"/>
  <c r="AE686" i="3" s="1"/>
  <c r="AG686" i="3"/>
  <c r="AH686" i="3"/>
  <c r="G686" i="3"/>
  <c r="F686" i="3" l="1"/>
  <c r="V686" i="3"/>
  <c r="A687" i="3"/>
  <c r="B687" i="3" s="1"/>
  <c r="I686" i="3"/>
  <c r="J686" i="3"/>
  <c r="M686" i="3"/>
  <c r="N686" i="3" s="1"/>
  <c r="L686" i="3" l="1"/>
  <c r="W686" i="3"/>
  <c r="Z687" i="3"/>
  <c r="P687" i="3"/>
  <c r="Q687" i="3" s="1"/>
  <c r="R687" i="3" s="1"/>
  <c r="S687" i="3" s="1"/>
  <c r="AD687" i="3"/>
  <c r="AA687" i="3"/>
  <c r="AC687" i="3"/>
  <c r="U686" i="3" l="1"/>
  <c r="Y685" i="3"/>
  <c r="T687" i="3"/>
  <c r="AG687" i="3" s="1"/>
  <c r="AH687" i="3" l="1"/>
  <c r="D687" i="3"/>
  <c r="G687" i="3" s="1"/>
  <c r="E687" i="3"/>
  <c r="H687" i="3" s="1"/>
  <c r="K687" i="3" s="1"/>
  <c r="AE687" i="3" s="1"/>
  <c r="F687" i="3" l="1"/>
  <c r="I687" i="3"/>
  <c r="J687" i="3"/>
  <c r="M687" i="3"/>
  <c r="N687" i="3" s="1"/>
  <c r="V687" i="3"/>
  <c r="A688" i="3"/>
  <c r="B688" i="3" s="1"/>
  <c r="W687" i="3" l="1"/>
  <c r="L687" i="3"/>
  <c r="AC688" i="3"/>
  <c r="AA688" i="3"/>
  <c r="AD688" i="3"/>
  <c r="P688" i="3"/>
  <c r="Q688" i="3" s="1"/>
  <c r="R688" i="3" s="1"/>
  <c r="S688" i="3" s="1"/>
  <c r="Z688" i="3"/>
  <c r="U687" i="3" l="1"/>
  <c r="Y686" i="3"/>
  <c r="T688" i="3"/>
  <c r="AG688" i="3" s="1"/>
  <c r="E688" i="3" l="1"/>
  <c r="H688" i="3" s="1"/>
  <c r="K688" i="3" s="1"/>
  <c r="AE688" i="3" s="1"/>
  <c r="AH688" i="3"/>
  <c r="D688" i="3"/>
  <c r="F688" i="3" l="1"/>
  <c r="G688" i="3"/>
  <c r="V688" i="3"/>
  <c r="A689" i="3"/>
  <c r="B689" i="3" s="1"/>
  <c r="AA689" i="3" l="1"/>
  <c r="P689" i="3"/>
  <c r="Q689" i="3" s="1"/>
  <c r="R689" i="3" s="1"/>
  <c r="S689" i="3" s="1"/>
  <c r="Z689" i="3"/>
  <c r="AD689" i="3"/>
  <c r="AC689" i="3"/>
  <c r="I688" i="3"/>
  <c r="W688" i="3" s="1"/>
  <c r="J688" i="3"/>
  <c r="M688" i="3"/>
  <c r="N688" i="3" s="1"/>
  <c r="T689" i="3" l="1"/>
  <c r="L688" i="3"/>
  <c r="U688" i="3" l="1"/>
  <c r="D689" i="3" s="1"/>
  <c r="AG689" i="3"/>
  <c r="AH689" i="3"/>
  <c r="Y687" i="3"/>
  <c r="E689" i="3" l="1"/>
  <c r="H689" i="3" s="1"/>
  <c r="K689" i="3" s="1"/>
  <c r="AE689" i="3" s="1"/>
  <c r="G689" i="3"/>
  <c r="F689" i="3" l="1"/>
  <c r="I689" i="3"/>
  <c r="J689" i="3"/>
  <c r="M689" i="3"/>
  <c r="N689" i="3" s="1"/>
  <c r="V689" i="3"/>
  <c r="A690" i="3"/>
  <c r="B690" i="3" s="1"/>
  <c r="W689" i="3" l="1"/>
  <c r="L689" i="3"/>
  <c r="AA690" i="3"/>
  <c r="AC690" i="3"/>
  <c r="P690" i="3"/>
  <c r="Q690" i="3" s="1"/>
  <c r="R690" i="3" s="1"/>
  <c r="S690" i="3" s="1"/>
  <c r="AD690" i="3"/>
  <c r="Z690" i="3"/>
  <c r="U689" i="3" l="1"/>
  <c r="Y688" i="3"/>
  <c r="T690" i="3"/>
  <c r="AH690" i="3" s="1"/>
  <c r="D690" i="3" l="1"/>
  <c r="G690" i="3" s="1"/>
  <c r="E690" i="3"/>
  <c r="H690" i="3" s="1"/>
  <c r="K690" i="3" s="1"/>
  <c r="AE690" i="3" s="1"/>
  <c r="AG690" i="3"/>
  <c r="F690" i="3" l="1"/>
  <c r="I690" i="3"/>
  <c r="J690" i="3"/>
  <c r="M690" i="3"/>
  <c r="N690" i="3" s="1"/>
  <c r="V690" i="3"/>
  <c r="A691" i="3"/>
  <c r="B691" i="3" s="1"/>
  <c r="W690" i="3" l="1"/>
  <c r="L690" i="3"/>
  <c r="AA691" i="3"/>
  <c r="Z691" i="3"/>
  <c r="P691" i="3"/>
  <c r="Q691" i="3" s="1"/>
  <c r="R691" i="3" s="1"/>
  <c r="S691" i="3" s="1"/>
  <c r="AD691" i="3"/>
  <c r="AC691" i="3"/>
  <c r="T691" i="3" l="1"/>
  <c r="U690" i="3"/>
  <c r="Y689" i="3"/>
  <c r="D691" i="3" l="1"/>
  <c r="G691" i="3" s="1"/>
  <c r="AH691" i="3"/>
  <c r="E691" i="3"/>
  <c r="H691" i="3" s="1"/>
  <c r="AG691" i="3"/>
  <c r="F691" i="3" l="1"/>
  <c r="I691" i="3"/>
  <c r="J691" i="3"/>
  <c r="M691" i="3"/>
  <c r="N691" i="3" s="1"/>
  <c r="K691" i="3"/>
  <c r="AE691" i="3" s="1"/>
  <c r="V691" i="3" l="1"/>
  <c r="W691" i="3" s="1"/>
  <c r="A692" i="3"/>
  <c r="B692" i="3" s="1"/>
  <c r="L691" i="3"/>
  <c r="U691" i="3" l="1"/>
  <c r="Y690" i="3"/>
  <c r="AC692" i="3"/>
  <c r="AD692" i="3"/>
  <c r="AA692" i="3"/>
  <c r="Z692" i="3"/>
  <c r="P692" i="3"/>
  <c r="Q692" i="3" s="1"/>
  <c r="R692" i="3" s="1"/>
  <c r="S692" i="3" s="1"/>
  <c r="T692" i="3" l="1"/>
  <c r="E692" i="3" s="1"/>
  <c r="H692" i="3" s="1"/>
  <c r="D692" i="3" l="1"/>
  <c r="G692" i="3" s="1"/>
  <c r="AH692" i="3"/>
  <c r="K692" i="3"/>
  <c r="AE692" i="3" s="1"/>
  <c r="AG692" i="3"/>
  <c r="F692" i="3" l="1"/>
  <c r="I692" i="3"/>
  <c r="J692" i="3"/>
  <c r="M692" i="3"/>
  <c r="N692" i="3" s="1"/>
  <c r="V692" i="3"/>
  <c r="A693" i="3"/>
  <c r="B693" i="3" s="1"/>
  <c r="W692" i="3" l="1"/>
  <c r="L692" i="3"/>
  <c r="AC693" i="3"/>
  <c r="AA693" i="3"/>
  <c r="AD693" i="3"/>
  <c r="P693" i="3"/>
  <c r="Q693" i="3" s="1"/>
  <c r="R693" i="3" s="1"/>
  <c r="S693" i="3" s="1"/>
  <c r="Z693" i="3"/>
  <c r="U692" i="3" l="1"/>
  <c r="Y691" i="3"/>
  <c r="T693" i="3"/>
  <c r="AG693" i="3" s="1"/>
  <c r="D693" i="3" l="1"/>
  <c r="G693" i="3" s="1"/>
  <c r="E693" i="3"/>
  <c r="H693" i="3" s="1"/>
  <c r="K693" i="3" s="1"/>
  <c r="AE693" i="3" s="1"/>
  <c r="AH693" i="3"/>
  <c r="F693" i="3" l="1"/>
  <c r="V693" i="3"/>
  <c r="A694" i="3"/>
  <c r="B694" i="3" s="1"/>
  <c r="I693" i="3"/>
  <c r="J693" i="3"/>
  <c r="M693" i="3"/>
  <c r="N693" i="3" s="1"/>
  <c r="W693" i="3" l="1"/>
  <c r="L693" i="3"/>
  <c r="AA694" i="3"/>
  <c r="AC694" i="3"/>
  <c r="P694" i="3"/>
  <c r="Q694" i="3" s="1"/>
  <c r="R694" i="3" s="1"/>
  <c r="S694" i="3" s="1"/>
  <c r="Z694" i="3"/>
  <c r="U693" i="3" l="1"/>
  <c r="Y692" i="3"/>
  <c r="T694" i="3"/>
  <c r="AG694" i="3" s="1"/>
  <c r="E694" i="3" l="1"/>
  <c r="H694" i="3" s="1"/>
  <c r="K694" i="3" s="1"/>
  <c r="AE694" i="3" s="1"/>
  <c r="AH694" i="3"/>
  <c r="D694" i="3"/>
  <c r="G694" i="3" s="1"/>
  <c r="F694" i="3" l="1"/>
  <c r="I694" i="3"/>
  <c r="J694" i="3"/>
  <c r="AD694" i="3" s="1"/>
  <c r="M694" i="3"/>
  <c r="N694" i="3" s="1"/>
  <c r="V694" i="3"/>
  <c r="A695" i="3"/>
  <c r="B695" i="3" s="1"/>
  <c r="W694" i="3" l="1"/>
  <c r="L694" i="3"/>
  <c r="AD695" i="3"/>
  <c r="Z695" i="3"/>
  <c r="P695" i="3"/>
  <c r="Q695" i="3" s="1"/>
  <c r="R695" i="3" s="1"/>
  <c r="S695" i="3" s="1"/>
  <c r="AC695" i="3"/>
  <c r="AA695" i="3"/>
  <c r="U694" i="3" l="1"/>
  <c r="Y693" i="3"/>
  <c r="T695" i="3"/>
  <c r="E695" i="3" l="1"/>
  <c r="H695" i="3" s="1"/>
  <c r="K695" i="3" s="1"/>
  <c r="AE695" i="3" s="1"/>
  <c r="D695" i="3"/>
  <c r="AG695" i="3"/>
  <c r="AH695" i="3"/>
  <c r="V695" i="3" l="1"/>
  <c r="A696" i="3"/>
  <c r="B696" i="3" s="1"/>
  <c r="F695" i="3"/>
  <c r="G695" i="3"/>
  <c r="I695" i="3" l="1"/>
  <c r="W695" i="3" s="1"/>
  <c r="J695" i="3"/>
  <c r="M695" i="3"/>
  <c r="N695" i="3" s="1"/>
  <c r="AD696" i="3"/>
  <c r="AA696" i="3"/>
  <c r="Z696" i="3"/>
  <c r="P696" i="3"/>
  <c r="Q696" i="3" s="1"/>
  <c r="R696" i="3" s="1"/>
  <c r="S696" i="3" s="1"/>
  <c r="AC696" i="3"/>
  <c r="T696" i="3" l="1"/>
  <c r="L695" i="3"/>
  <c r="AH696" i="3" l="1"/>
  <c r="U695" i="3"/>
  <c r="D696" i="3" s="1"/>
  <c r="AG696" i="3"/>
  <c r="Y694" i="3"/>
  <c r="E696" i="3" l="1"/>
  <c r="H696" i="3" s="1"/>
  <c r="K696" i="3" s="1"/>
  <c r="AE696" i="3" s="1"/>
  <c r="G696" i="3"/>
  <c r="F696" i="3" l="1"/>
  <c r="V696" i="3"/>
  <c r="A697" i="3"/>
  <c r="B697" i="3" s="1"/>
  <c r="I696" i="3"/>
  <c r="J696" i="3"/>
  <c r="M696" i="3"/>
  <c r="N696" i="3" s="1"/>
  <c r="W696" i="3" l="1"/>
  <c r="AD697" i="3"/>
  <c r="P697" i="3"/>
  <c r="Q697" i="3" s="1"/>
  <c r="R697" i="3" s="1"/>
  <c r="S697" i="3" s="1"/>
  <c r="Z697" i="3"/>
  <c r="AA697" i="3"/>
  <c r="AC697" i="3"/>
  <c r="L696" i="3"/>
  <c r="U696" i="3" l="1"/>
  <c r="Y695" i="3"/>
  <c r="T697" i="3"/>
  <c r="E697" i="3" l="1"/>
  <c r="H697" i="3" s="1"/>
  <c r="K697" i="3" s="1"/>
  <c r="AE697" i="3" s="1"/>
  <c r="D697" i="3"/>
  <c r="AH697" i="3"/>
  <c r="AG697" i="3"/>
  <c r="F697" i="3" l="1"/>
  <c r="G697" i="3"/>
  <c r="M697" i="3" s="1"/>
  <c r="N697" i="3" s="1"/>
  <c r="V697" i="3"/>
  <c r="A698" i="3"/>
  <c r="B698" i="3" s="1"/>
  <c r="I697" i="3" l="1"/>
  <c r="W697" i="3" s="1"/>
  <c r="J697" i="3"/>
  <c r="L697" i="3" s="1"/>
  <c r="AD698" i="3"/>
  <c r="AA698" i="3"/>
  <c r="Z698" i="3"/>
  <c r="AC698" i="3"/>
  <c r="P698" i="3"/>
  <c r="Q698" i="3" s="1"/>
  <c r="R698" i="3" s="1"/>
  <c r="S698" i="3" s="1"/>
  <c r="U697" i="3" l="1"/>
  <c r="Y696" i="3"/>
  <c r="T698" i="3"/>
  <c r="AG698" i="3" s="1"/>
  <c r="E698" i="3" l="1"/>
  <c r="H698" i="3" s="1"/>
  <c r="K698" i="3" s="1"/>
  <c r="AE698" i="3" s="1"/>
  <c r="AH698" i="3"/>
  <c r="D698" i="3"/>
  <c r="F698" i="3" l="1"/>
  <c r="G698" i="3"/>
  <c r="J698" i="3" s="1"/>
  <c r="V698" i="3"/>
  <c r="A699" i="3"/>
  <c r="B699" i="3" s="1"/>
  <c r="M698" i="3" l="1"/>
  <c r="N698" i="3" s="1"/>
  <c r="I698" i="3"/>
  <c r="W698" i="3" s="1"/>
  <c r="L698" i="3"/>
  <c r="Z699" i="3"/>
  <c r="P699" i="3"/>
  <c r="Q699" i="3" s="1"/>
  <c r="R699" i="3" s="1"/>
  <c r="S699" i="3" s="1"/>
  <c r="AA699" i="3"/>
  <c r="AD699" i="3"/>
  <c r="AC699" i="3"/>
  <c r="T699" i="3" l="1"/>
  <c r="U698" i="3"/>
  <c r="Y697" i="3"/>
  <c r="D699" i="3" l="1"/>
  <c r="G699" i="3" s="1"/>
  <c r="AG699" i="3"/>
  <c r="AH699" i="3"/>
  <c r="E699" i="3"/>
  <c r="H699" i="3" s="1"/>
  <c r="K699" i="3" l="1"/>
  <c r="AE699" i="3" s="1"/>
  <c r="I699" i="3"/>
  <c r="J699" i="3"/>
  <c r="M699" i="3"/>
  <c r="N699" i="3" s="1"/>
  <c r="F699" i="3"/>
  <c r="L699" i="3" l="1"/>
  <c r="V699" i="3"/>
  <c r="W699" i="3" s="1"/>
  <c r="A700" i="3"/>
  <c r="B700" i="3" s="1"/>
  <c r="U699" i="3" l="1"/>
  <c r="Y698" i="3"/>
  <c r="Z700" i="3"/>
  <c r="P700" i="3"/>
  <c r="Q700" i="3" s="1"/>
  <c r="R700" i="3" s="1"/>
  <c r="S700" i="3" s="1"/>
  <c r="AD700" i="3"/>
  <c r="AC700" i="3"/>
  <c r="AA700" i="3"/>
  <c r="T700" i="3" l="1"/>
  <c r="D700" i="3" s="1"/>
  <c r="AH700" i="3" l="1"/>
  <c r="AG700" i="3"/>
  <c r="E700" i="3"/>
  <c r="H700" i="3" s="1"/>
  <c r="K700" i="3" s="1"/>
  <c r="AE700" i="3" s="1"/>
  <c r="G700" i="3"/>
  <c r="F700" i="3" l="1"/>
  <c r="I700" i="3"/>
  <c r="J700" i="3"/>
  <c r="M700" i="3"/>
  <c r="N700" i="3" s="1"/>
  <c r="V700" i="3"/>
  <c r="A701" i="3"/>
  <c r="B701" i="3" s="1"/>
  <c r="W700" i="3" l="1"/>
  <c r="L700" i="3"/>
  <c r="AC701" i="3"/>
  <c r="AA701" i="3"/>
  <c r="Z701" i="3"/>
  <c r="P701" i="3"/>
  <c r="Q701" i="3" s="1"/>
  <c r="R701" i="3" s="1"/>
  <c r="S701" i="3" s="1"/>
  <c r="AD701" i="3"/>
  <c r="U700" i="3" l="1"/>
  <c r="Y699" i="3"/>
  <c r="T701" i="3"/>
  <c r="AG701" i="3" s="1"/>
  <c r="AH701" i="3" l="1"/>
  <c r="E701" i="3"/>
  <c r="H701" i="3" s="1"/>
  <c r="D701" i="3"/>
  <c r="F701" i="3" l="1"/>
  <c r="G701" i="3"/>
  <c r="K701" i="3"/>
  <c r="AE701" i="3" s="1"/>
  <c r="I701" i="3" l="1"/>
  <c r="J701" i="3"/>
  <c r="M701" i="3"/>
  <c r="N701" i="3" s="1"/>
  <c r="V701" i="3"/>
  <c r="A702" i="3"/>
  <c r="B702" i="3" s="1"/>
  <c r="W701" i="3" l="1"/>
  <c r="L701" i="3"/>
  <c r="AC702" i="3"/>
  <c r="AD702" i="3"/>
  <c r="P702" i="3"/>
  <c r="Q702" i="3" s="1"/>
  <c r="R702" i="3" s="1"/>
  <c r="S702" i="3" s="1"/>
  <c r="Z702" i="3"/>
  <c r="AA702" i="3"/>
  <c r="U701" i="3" l="1"/>
  <c r="Y700" i="3"/>
  <c r="T702" i="3"/>
  <c r="AH702" i="3" s="1"/>
  <c r="D702" i="3" l="1"/>
  <c r="G702" i="3" s="1"/>
  <c r="E702" i="3"/>
  <c r="H702" i="3" s="1"/>
  <c r="K702" i="3" s="1"/>
  <c r="AE702" i="3" s="1"/>
  <c r="AG702" i="3"/>
  <c r="F702" i="3" l="1"/>
  <c r="V702" i="3"/>
  <c r="A703" i="3"/>
  <c r="B703" i="3" s="1"/>
  <c r="I702" i="3"/>
  <c r="J702" i="3"/>
  <c r="M702" i="3"/>
  <c r="N702" i="3" s="1"/>
  <c r="W702" i="3" l="1"/>
  <c r="L702" i="3"/>
  <c r="AC703" i="3"/>
  <c r="AD703" i="3"/>
  <c r="P703" i="3"/>
  <c r="Q703" i="3" s="1"/>
  <c r="R703" i="3" s="1"/>
  <c r="S703" i="3" s="1"/>
  <c r="AA703" i="3"/>
  <c r="Z703" i="3"/>
  <c r="T703" i="3" l="1"/>
  <c r="AH703" i="3" s="1"/>
  <c r="U702" i="3"/>
  <c r="Y701" i="3"/>
  <c r="E703" i="3" l="1"/>
  <c r="H703" i="3" s="1"/>
  <c r="K703" i="3" s="1"/>
  <c r="AE703" i="3" s="1"/>
  <c r="AG703" i="3"/>
  <c r="D703" i="3"/>
  <c r="F703" i="3" l="1"/>
  <c r="G703" i="3"/>
  <c r="V703" i="3"/>
  <c r="A704" i="3"/>
  <c r="B704" i="3" s="1"/>
  <c r="P704" i="3" l="1"/>
  <c r="Q704" i="3" s="1"/>
  <c r="R704" i="3" s="1"/>
  <c r="S704" i="3" s="1"/>
  <c r="AC704" i="3"/>
  <c r="Z704" i="3"/>
  <c r="AA704" i="3"/>
  <c r="I703" i="3"/>
  <c r="W703" i="3" s="1"/>
  <c r="J703" i="3"/>
  <c r="M703" i="3"/>
  <c r="N703" i="3" s="1"/>
  <c r="T704" i="3" l="1"/>
  <c r="L703" i="3"/>
  <c r="U703" i="3" l="1"/>
  <c r="D704" i="3" s="1"/>
  <c r="AG704" i="3"/>
  <c r="AH704" i="3"/>
  <c r="Y702" i="3"/>
  <c r="G704" i="3" l="1"/>
  <c r="E704" i="3"/>
  <c r="H704" i="3" s="1"/>
  <c r="F704" i="3" l="1"/>
  <c r="I704" i="3"/>
  <c r="J704" i="3"/>
  <c r="AD704" i="3" s="1"/>
  <c r="M704" i="3"/>
  <c r="N704" i="3" s="1"/>
  <c r="K704" i="3"/>
  <c r="AE704" i="3" s="1"/>
  <c r="V704" i="3" l="1"/>
  <c r="W704" i="3" s="1"/>
  <c r="A705" i="3"/>
  <c r="B705" i="3" s="1"/>
  <c r="L704" i="3"/>
  <c r="U704" i="3" l="1"/>
  <c r="Y703" i="3"/>
  <c r="Z705" i="3"/>
  <c r="P705" i="3"/>
  <c r="Q705" i="3" s="1"/>
  <c r="R705" i="3" s="1"/>
  <c r="S705" i="3" s="1"/>
  <c r="AC705" i="3"/>
  <c r="AA705" i="3"/>
  <c r="AD705" i="3"/>
  <c r="T705" i="3" l="1"/>
  <c r="AH705" i="3" s="1"/>
  <c r="AG705" i="3" l="1"/>
  <c r="D705" i="3"/>
  <c r="E705" i="3"/>
  <c r="H705" i="3" s="1"/>
  <c r="F705" i="3" l="1"/>
  <c r="G705" i="3"/>
  <c r="K705" i="3"/>
  <c r="AE705" i="3" s="1"/>
  <c r="I705" i="3" l="1"/>
  <c r="J705" i="3"/>
  <c r="M705" i="3"/>
  <c r="N705" i="3" s="1"/>
  <c r="V705" i="3"/>
  <c r="A706" i="3"/>
  <c r="B706" i="3" s="1"/>
  <c r="W705" i="3" l="1"/>
  <c r="L705" i="3"/>
  <c r="P706" i="3"/>
  <c r="Q706" i="3" s="1"/>
  <c r="R706" i="3" s="1"/>
  <c r="S706" i="3" s="1"/>
  <c r="AA706" i="3"/>
  <c r="AC706" i="3"/>
  <c r="Z706" i="3"/>
  <c r="AD706" i="3"/>
  <c r="U705" i="3" l="1"/>
  <c r="Y704" i="3"/>
  <c r="T706" i="3"/>
  <c r="AH706" i="3" s="1"/>
  <c r="E706" i="3" l="1"/>
  <c r="H706" i="3" s="1"/>
  <c r="D706" i="3"/>
  <c r="AG706" i="3"/>
  <c r="K706" i="3" l="1"/>
  <c r="AE706" i="3" s="1"/>
  <c r="F706" i="3"/>
  <c r="G706" i="3"/>
  <c r="I706" i="3" l="1"/>
  <c r="J706" i="3"/>
  <c r="M706" i="3"/>
  <c r="N706" i="3" s="1"/>
  <c r="V706" i="3"/>
  <c r="A707" i="3"/>
  <c r="B707" i="3" s="1"/>
  <c r="W706" i="3" l="1"/>
  <c r="P707" i="3"/>
  <c r="Q707" i="3" s="1"/>
  <c r="R707" i="3" s="1"/>
  <c r="S707" i="3" s="1"/>
  <c r="AD707" i="3"/>
  <c r="Z707" i="3"/>
  <c r="AC707" i="3"/>
  <c r="AA707" i="3"/>
  <c r="L706" i="3"/>
  <c r="T707" i="3" l="1"/>
  <c r="AG707" i="3" s="1"/>
  <c r="U706" i="3"/>
  <c r="Y705" i="3"/>
  <c r="E707" i="3" l="1"/>
  <c r="H707" i="3" s="1"/>
  <c r="K707" i="3" s="1"/>
  <c r="AE707" i="3" s="1"/>
  <c r="D707" i="3"/>
  <c r="AH707" i="3"/>
  <c r="V707" i="3" l="1"/>
  <c r="A708" i="3"/>
  <c r="B708" i="3" s="1"/>
  <c r="F707" i="3"/>
  <c r="G707" i="3"/>
  <c r="I707" i="3" l="1"/>
  <c r="W707" i="3" s="1"/>
  <c r="J707" i="3"/>
  <c r="M707" i="3"/>
  <c r="N707" i="3" s="1"/>
  <c r="AD708" i="3"/>
  <c r="P708" i="3"/>
  <c r="Q708" i="3" s="1"/>
  <c r="R708" i="3" s="1"/>
  <c r="S708" i="3" s="1"/>
  <c r="AC708" i="3"/>
  <c r="Z708" i="3"/>
  <c r="AA708" i="3"/>
  <c r="T708" i="3" l="1"/>
  <c r="L707" i="3"/>
  <c r="U707" i="3" l="1"/>
  <c r="D708" i="3" s="1"/>
  <c r="AG708" i="3"/>
  <c r="AH708" i="3"/>
  <c r="Y706" i="3"/>
  <c r="E708" i="3" l="1"/>
  <c r="H708" i="3" s="1"/>
  <c r="K708" i="3" s="1"/>
  <c r="AE708" i="3" s="1"/>
  <c r="G708" i="3"/>
  <c r="F708" i="3" l="1"/>
  <c r="I708" i="3"/>
  <c r="J708" i="3"/>
  <c r="M708" i="3"/>
  <c r="N708" i="3" s="1"/>
  <c r="V708" i="3"/>
  <c r="A709" i="3"/>
  <c r="B709" i="3" s="1"/>
  <c r="W708" i="3" l="1"/>
  <c r="L708" i="3"/>
  <c r="Z709" i="3"/>
  <c r="AA709" i="3"/>
  <c r="AD709" i="3"/>
  <c r="P709" i="3"/>
  <c r="Q709" i="3" s="1"/>
  <c r="R709" i="3" s="1"/>
  <c r="S709" i="3" s="1"/>
  <c r="AC709" i="3"/>
  <c r="U708" i="3" l="1"/>
  <c r="Y707" i="3"/>
  <c r="T709" i="3"/>
  <c r="AG709" i="3" s="1"/>
  <c r="AH709" i="3" l="1"/>
  <c r="E709" i="3"/>
  <c r="H709" i="3" s="1"/>
  <c r="D709" i="3"/>
  <c r="F709" i="3" l="1"/>
  <c r="G709" i="3"/>
  <c r="K709" i="3"/>
  <c r="AE709" i="3" s="1"/>
  <c r="V709" i="3" l="1"/>
  <c r="A710" i="3"/>
  <c r="B710" i="3" s="1"/>
  <c r="I709" i="3"/>
  <c r="J709" i="3"/>
  <c r="M709" i="3"/>
  <c r="N709" i="3" s="1"/>
  <c r="W709" i="3" l="1"/>
  <c r="L709" i="3"/>
  <c r="AD710" i="3"/>
  <c r="AC710" i="3"/>
  <c r="Z710" i="3"/>
  <c r="AA710" i="3"/>
  <c r="P710" i="3"/>
  <c r="Q710" i="3" s="1"/>
  <c r="R710" i="3" s="1"/>
  <c r="S710" i="3" s="1"/>
  <c r="U709" i="3" l="1"/>
  <c r="Y708" i="3"/>
  <c r="T710" i="3"/>
  <c r="AH710" i="3" s="1"/>
  <c r="D710" i="3" l="1"/>
  <c r="E710" i="3"/>
  <c r="H710" i="3" s="1"/>
  <c r="AG710" i="3"/>
  <c r="F710" i="3" l="1"/>
  <c r="G710" i="3"/>
  <c r="K710" i="3"/>
  <c r="AE710" i="3" s="1"/>
  <c r="I710" i="3" l="1"/>
  <c r="J710" i="3"/>
  <c r="M710" i="3"/>
  <c r="N710" i="3" s="1"/>
  <c r="V710" i="3"/>
  <c r="A711" i="3"/>
  <c r="B711" i="3" s="1"/>
  <c r="W710" i="3" l="1"/>
  <c r="L710" i="3"/>
  <c r="AA711" i="3"/>
  <c r="AC711" i="3"/>
  <c r="Z711" i="3"/>
  <c r="AD711" i="3"/>
  <c r="P711" i="3"/>
  <c r="Q711" i="3" s="1"/>
  <c r="R711" i="3" s="1"/>
  <c r="S711" i="3" s="1"/>
  <c r="T711" i="3" l="1"/>
  <c r="U710" i="3"/>
  <c r="Y709" i="3"/>
  <c r="D711" i="3" l="1"/>
  <c r="G711" i="3" s="1"/>
  <c r="E711" i="3"/>
  <c r="H711" i="3" s="1"/>
  <c r="AH711" i="3"/>
  <c r="AG711" i="3"/>
  <c r="F711" i="3" l="1"/>
  <c r="K711" i="3"/>
  <c r="AE711" i="3" s="1"/>
  <c r="I711" i="3"/>
  <c r="J711" i="3"/>
  <c r="M711" i="3"/>
  <c r="N711" i="3" s="1"/>
  <c r="L711" i="3" l="1"/>
  <c r="V711" i="3"/>
  <c r="W711" i="3" s="1"/>
  <c r="A712" i="3"/>
  <c r="B712" i="3" s="1"/>
  <c r="AC712" i="3" l="1"/>
  <c r="AD712" i="3"/>
  <c r="P712" i="3"/>
  <c r="Q712" i="3" s="1"/>
  <c r="R712" i="3" s="1"/>
  <c r="S712" i="3" s="1"/>
  <c r="AA712" i="3"/>
  <c r="Z712" i="3"/>
  <c r="U711" i="3"/>
  <c r="Y710" i="3"/>
  <c r="T712" i="3" l="1"/>
  <c r="AG712" i="3" l="1"/>
  <c r="D712" i="3"/>
  <c r="E712" i="3"/>
  <c r="H712" i="3" s="1"/>
  <c r="AH712" i="3"/>
  <c r="K712" i="3" l="1"/>
  <c r="AE712" i="3" s="1"/>
  <c r="F712" i="3"/>
  <c r="G712" i="3"/>
  <c r="V712" i="3" l="1"/>
  <c r="A713" i="3"/>
  <c r="B713" i="3" s="1"/>
  <c r="I712" i="3"/>
  <c r="J712" i="3"/>
  <c r="M712" i="3"/>
  <c r="N712" i="3" s="1"/>
  <c r="W712" i="3" l="1"/>
  <c r="L712" i="3"/>
  <c r="Z713" i="3"/>
  <c r="P713" i="3"/>
  <c r="Q713" i="3" s="1"/>
  <c r="R713" i="3" s="1"/>
  <c r="S713" i="3" s="1"/>
  <c r="AC713" i="3"/>
  <c r="AD713" i="3"/>
  <c r="AA713" i="3"/>
  <c r="T713" i="3" l="1"/>
  <c r="AH713" i="3" s="1"/>
  <c r="U712" i="3"/>
  <c r="Y711" i="3"/>
  <c r="D713" i="3" l="1"/>
  <c r="AG713" i="3"/>
  <c r="E713" i="3"/>
  <c r="H713" i="3" s="1"/>
  <c r="F713" i="3" l="1"/>
  <c r="G713" i="3"/>
  <c r="M713" i="3" s="1"/>
  <c r="N713" i="3" s="1"/>
  <c r="K713" i="3"/>
  <c r="AE713" i="3" s="1"/>
  <c r="I713" i="3" l="1"/>
  <c r="J713" i="3"/>
  <c r="L713" i="3" s="1"/>
  <c r="V713" i="3"/>
  <c r="A714" i="3"/>
  <c r="B714" i="3" s="1"/>
  <c r="W713" i="3" l="1"/>
  <c r="U713" i="3"/>
  <c r="Y712" i="3"/>
  <c r="AA714" i="3"/>
  <c r="P714" i="3"/>
  <c r="Q714" i="3" s="1"/>
  <c r="R714" i="3" s="1"/>
  <c r="S714" i="3" s="1"/>
  <c r="Z714" i="3"/>
  <c r="AC714" i="3"/>
  <c r="T714" i="3" l="1"/>
  <c r="AH714" i="3" s="1"/>
  <c r="D714" i="3" l="1"/>
  <c r="G714" i="3" s="1"/>
  <c r="E714" i="3"/>
  <c r="H714" i="3" s="1"/>
  <c r="K714" i="3" s="1"/>
  <c r="AE714" i="3" s="1"/>
  <c r="AG714" i="3"/>
  <c r="F714" i="3" l="1"/>
  <c r="V714" i="3"/>
  <c r="A715" i="3"/>
  <c r="B715" i="3" s="1"/>
  <c r="I714" i="3"/>
  <c r="J714" i="3"/>
  <c r="AD714" i="3" s="1"/>
  <c r="M714" i="3"/>
  <c r="N714" i="3" s="1"/>
  <c r="L714" i="3" l="1"/>
  <c r="W714" i="3"/>
  <c r="AC715" i="3"/>
  <c r="P715" i="3"/>
  <c r="Q715" i="3" s="1"/>
  <c r="R715" i="3" s="1"/>
  <c r="S715" i="3" s="1"/>
  <c r="Z715" i="3"/>
  <c r="AA715" i="3"/>
  <c r="AD715" i="3"/>
  <c r="U714" i="3" l="1"/>
  <c r="Y713" i="3"/>
  <c r="T715" i="3"/>
  <c r="AG715" i="3" s="1"/>
  <c r="AH715" i="3" l="1"/>
  <c r="D715" i="3"/>
  <c r="G715" i="3" s="1"/>
  <c r="E715" i="3"/>
  <c r="H715" i="3" s="1"/>
  <c r="F715" i="3" l="1"/>
  <c r="I715" i="3"/>
  <c r="J715" i="3"/>
  <c r="M715" i="3"/>
  <c r="N715" i="3" s="1"/>
  <c r="K715" i="3"/>
  <c r="AE715" i="3" s="1"/>
  <c r="V715" i="3" l="1"/>
  <c r="W715" i="3" s="1"/>
  <c r="A716" i="3"/>
  <c r="B716" i="3" s="1"/>
  <c r="L715" i="3"/>
  <c r="U715" i="3" l="1"/>
  <c r="Y714" i="3"/>
  <c r="AC716" i="3"/>
  <c r="Z716" i="3"/>
  <c r="P716" i="3"/>
  <c r="Q716" i="3" s="1"/>
  <c r="R716" i="3" s="1"/>
  <c r="S716" i="3" s="1"/>
  <c r="AA716" i="3"/>
  <c r="AD716" i="3"/>
  <c r="T716" i="3" l="1"/>
  <c r="D716" i="3" s="1"/>
  <c r="E716" i="3" l="1"/>
  <c r="H716" i="3" s="1"/>
  <c r="K716" i="3" s="1"/>
  <c r="AE716" i="3" s="1"/>
  <c r="AH716" i="3"/>
  <c r="AG716" i="3"/>
  <c r="G716" i="3"/>
  <c r="F716" i="3" l="1"/>
  <c r="I716" i="3"/>
  <c r="J716" i="3"/>
  <c r="M716" i="3"/>
  <c r="N716" i="3" s="1"/>
  <c r="V716" i="3"/>
  <c r="A717" i="3"/>
  <c r="B717" i="3" s="1"/>
  <c r="W716" i="3" l="1"/>
  <c r="L716" i="3"/>
  <c r="AC717" i="3"/>
  <c r="P717" i="3"/>
  <c r="Q717" i="3" s="1"/>
  <c r="R717" i="3" s="1"/>
  <c r="S717" i="3" s="1"/>
  <c r="AD717" i="3"/>
  <c r="Z717" i="3"/>
  <c r="AA717" i="3"/>
  <c r="U716" i="3" l="1"/>
  <c r="Y715" i="3"/>
  <c r="T717" i="3"/>
  <c r="AG717" i="3" s="1"/>
  <c r="E717" i="3" l="1"/>
  <c r="H717" i="3" s="1"/>
  <c r="K717" i="3" s="1"/>
  <c r="AE717" i="3" s="1"/>
  <c r="AH717" i="3"/>
  <c r="D717" i="3"/>
  <c r="V717" i="3" l="1"/>
  <c r="A718" i="3"/>
  <c r="B718" i="3" s="1"/>
  <c r="F717" i="3"/>
  <c r="G717" i="3"/>
  <c r="I717" i="3" l="1"/>
  <c r="W717" i="3" s="1"/>
  <c r="J717" i="3"/>
  <c r="M717" i="3"/>
  <c r="N717" i="3" s="1"/>
  <c r="P718" i="3"/>
  <c r="Q718" i="3" s="1"/>
  <c r="R718" i="3" s="1"/>
  <c r="S718" i="3" s="1"/>
  <c r="AC718" i="3"/>
  <c r="Z718" i="3"/>
  <c r="AD718" i="3"/>
  <c r="AA718" i="3"/>
  <c r="L717" i="3" l="1"/>
  <c r="T718" i="3"/>
  <c r="U717" i="3" l="1"/>
  <c r="E718" i="3" s="1"/>
  <c r="H718" i="3" s="1"/>
  <c r="AH718" i="3"/>
  <c r="AG718" i="3"/>
  <c r="Y716" i="3"/>
  <c r="K718" i="3" l="1"/>
  <c r="AE718" i="3" s="1"/>
  <c r="D718" i="3"/>
  <c r="V718" i="3" l="1"/>
  <c r="A719" i="3"/>
  <c r="B719" i="3" s="1"/>
  <c r="F718" i="3"/>
  <c r="G718" i="3"/>
  <c r="I718" i="3" l="1"/>
  <c r="W718" i="3" s="1"/>
  <c r="J718" i="3"/>
  <c r="M718" i="3"/>
  <c r="N718" i="3" s="1"/>
  <c r="AD719" i="3"/>
  <c r="Z719" i="3"/>
  <c r="P719" i="3"/>
  <c r="Q719" i="3" s="1"/>
  <c r="R719" i="3" s="1"/>
  <c r="S719" i="3" s="1"/>
  <c r="AA719" i="3"/>
  <c r="AC719" i="3"/>
  <c r="T719" i="3" l="1"/>
  <c r="L718" i="3"/>
  <c r="AG719" i="3" l="1"/>
  <c r="AH719" i="3"/>
  <c r="U718" i="3"/>
  <c r="E719" i="3" s="1"/>
  <c r="H719" i="3" s="1"/>
  <c r="Y717" i="3"/>
  <c r="D719" i="3" l="1"/>
  <c r="G719" i="3" s="1"/>
  <c r="K719" i="3"/>
  <c r="AE719" i="3" s="1"/>
  <c r="F719" i="3" l="1"/>
  <c r="I719" i="3"/>
  <c r="J719" i="3"/>
  <c r="M719" i="3"/>
  <c r="N719" i="3" s="1"/>
  <c r="V719" i="3"/>
  <c r="A720" i="3"/>
  <c r="B720" i="3" s="1"/>
  <c r="W719" i="3" l="1"/>
  <c r="L719" i="3"/>
  <c r="P720" i="3"/>
  <c r="Q720" i="3" s="1"/>
  <c r="R720" i="3" s="1"/>
  <c r="S720" i="3" s="1"/>
  <c r="AA720" i="3"/>
  <c r="AC720" i="3"/>
  <c r="Z720" i="3"/>
  <c r="AD720" i="3"/>
  <c r="U719" i="3" l="1"/>
  <c r="Y718" i="3"/>
  <c r="T720" i="3"/>
  <c r="AG720" i="3" s="1"/>
  <c r="E720" i="3" l="1"/>
  <c r="H720" i="3" s="1"/>
  <c r="K720" i="3" s="1"/>
  <c r="AE720" i="3" s="1"/>
  <c r="D720" i="3"/>
  <c r="AH720" i="3"/>
  <c r="V720" i="3" l="1"/>
  <c r="A721" i="3"/>
  <c r="B721" i="3" s="1"/>
  <c r="F720" i="3"/>
  <c r="G720" i="3"/>
  <c r="I720" i="3" l="1"/>
  <c r="W720" i="3" s="1"/>
  <c r="J720" i="3"/>
  <c r="M720" i="3"/>
  <c r="N720" i="3" s="1"/>
  <c r="AD721" i="3"/>
  <c r="AA721" i="3"/>
  <c r="Z721" i="3"/>
  <c r="AC721" i="3"/>
  <c r="P721" i="3"/>
  <c r="Q721" i="3" s="1"/>
  <c r="R721" i="3" s="1"/>
  <c r="S721" i="3" s="1"/>
  <c r="T721" i="3" l="1"/>
  <c r="L720" i="3"/>
  <c r="AG721" i="3" l="1"/>
  <c r="U720" i="3"/>
  <c r="D721" i="3" s="1"/>
  <c r="AH721" i="3"/>
  <c r="Y719" i="3"/>
  <c r="G721" i="3" l="1"/>
  <c r="E721" i="3"/>
  <c r="H721" i="3" s="1"/>
  <c r="F721" i="3" l="1"/>
  <c r="I721" i="3"/>
  <c r="J721" i="3"/>
  <c r="M721" i="3"/>
  <c r="N721" i="3" s="1"/>
  <c r="K721" i="3"/>
  <c r="AE721" i="3" s="1"/>
  <c r="V721" i="3" l="1"/>
  <c r="W721" i="3" s="1"/>
  <c r="A722" i="3"/>
  <c r="B722" i="3" s="1"/>
  <c r="L721" i="3"/>
  <c r="U721" i="3" l="1"/>
  <c r="Y720" i="3"/>
  <c r="AA722" i="3"/>
  <c r="AC722" i="3"/>
  <c r="P722" i="3"/>
  <c r="Q722" i="3" s="1"/>
  <c r="R722" i="3" s="1"/>
  <c r="S722" i="3" s="1"/>
  <c r="Z722" i="3"/>
  <c r="AD722" i="3"/>
  <c r="T722" i="3" l="1"/>
  <c r="AH722" i="3" s="1"/>
  <c r="E722" i="3" l="1"/>
  <c r="H722" i="3" s="1"/>
  <c r="K722" i="3" s="1"/>
  <c r="AE722" i="3" s="1"/>
  <c r="D722" i="3"/>
  <c r="AG722" i="3"/>
  <c r="V722" i="3" l="1"/>
  <c r="A723" i="3"/>
  <c r="B723" i="3" s="1"/>
  <c r="F722" i="3"/>
  <c r="G722" i="3"/>
  <c r="I722" i="3" l="1"/>
  <c r="W722" i="3" s="1"/>
  <c r="J722" i="3"/>
  <c r="M722" i="3"/>
  <c r="N722" i="3" s="1"/>
  <c r="Z723" i="3"/>
  <c r="AA723" i="3"/>
  <c r="AC723" i="3"/>
  <c r="P723" i="3"/>
  <c r="Q723" i="3" s="1"/>
  <c r="R723" i="3" s="1"/>
  <c r="S723" i="3" s="1"/>
  <c r="AD723" i="3"/>
  <c r="T723" i="3" l="1"/>
  <c r="L722" i="3"/>
  <c r="U722" i="3" l="1"/>
  <c r="E723" i="3" s="1"/>
  <c r="H723" i="3" s="1"/>
  <c r="AG723" i="3"/>
  <c r="AH723" i="3"/>
  <c r="Y721" i="3"/>
  <c r="D723" i="3" l="1"/>
  <c r="G723" i="3" s="1"/>
  <c r="K723" i="3"/>
  <c r="AE723" i="3" s="1"/>
  <c r="F723" i="3" l="1"/>
  <c r="V723" i="3"/>
  <c r="A724" i="3"/>
  <c r="B724" i="3" s="1"/>
  <c r="I723" i="3"/>
  <c r="J723" i="3"/>
  <c r="M723" i="3"/>
  <c r="N723" i="3" s="1"/>
  <c r="W723" i="3" l="1"/>
  <c r="L723" i="3"/>
  <c r="AA724" i="3"/>
  <c r="Z724" i="3"/>
  <c r="AC724" i="3"/>
  <c r="P724" i="3"/>
  <c r="Q724" i="3" s="1"/>
  <c r="R724" i="3" s="1"/>
  <c r="S724" i="3" s="1"/>
  <c r="T724" i="3" l="1"/>
  <c r="AH724" i="3" s="1"/>
  <c r="U723" i="3"/>
  <c r="Y722" i="3"/>
  <c r="D724" i="3" l="1"/>
  <c r="E724" i="3"/>
  <c r="H724" i="3" s="1"/>
  <c r="AG724" i="3"/>
  <c r="K724" i="3" l="1"/>
  <c r="AE724" i="3" s="1"/>
  <c r="F724" i="3"/>
  <c r="G724" i="3"/>
  <c r="I724" i="3" l="1"/>
  <c r="J724" i="3"/>
  <c r="AD724" i="3" s="1"/>
  <c r="M724" i="3"/>
  <c r="N724" i="3" s="1"/>
  <c r="V724" i="3"/>
  <c r="A725" i="3"/>
  <c r="B725" i="3" s="1"/>
  <c r="W724" i="3" l="1"/>
  <c r="L724" i="3"/>
  <c r="AC725" i="3"/>
  <c r="P725" i="3"/>
  <c r="Q725" i="3" s="1"/>
  <c r="R725" i="3" s="1"/>
  <c r="S725" i="3" s="1"/>
  <c r="Z725" i="3"/>
  <c r="AA725" i="3"/>
  <c r="AD725" i="3"/>
  <c r="U724" i="3" l="1"/>
  <c r="Y723" i="3"/>
  <c r="T725" i="3"/>
  <c r="AG725" i="3" s="1"/>
  <c r="AH725" i="3" l="1"/>
  <c r="D725" i="3"/>
  <c r="G725" i="3" s="1"/>
  <c r="E725" i="3"/>
  <c r="H725" i="3" s="1"/>
  <c r="F725" i="3" l="1"/>
  <c r="I725" i="3"/>
  <c r="J725" i="3"/>
  <c r="M725" i="3"/>
  <c r="N725" i="3" s="1"/>
  <c r="K725" i="3"/>
  <c r="AE725" i="3" s="1"/>
  <c r="V725" i="3" l="1"/>
  <c r="W725" i="3" s="1"/>
  <c r="A726" i="3"/>
  <c r="B726" i="3" s="1"/>
  <c r="L725" i="3"/>
  <c r="U725" i="3" l="1"/>
  <c r="Y724" i="3"/>
  <c r="Z726" i="3"/>
  <c r="P726" i="3"/>
  <c r="Q726" i="3" s="1"/>
  <c r="R726" i="3" s="1"/>
  <c r="S726" i="3" s="1"/>
  <c r="AA726" i="3"/>
  <c r="AD726" i="3"/>
  <c r="AC726" i="3"/>
  <c r="T726" i="3" l="1"/>
  <c r="AG726" i="3" s="1"/>
  <c r="D726" i="3" l="1"/>
  <c r="G726" i="3" s="1"/>
  <c r="E726" i="3"/>
  <c r="H726" i="3" s="1"/>
  <c r="K726" i="3" s="1"/>
  <c r="AE726" i="3" s="1"/>
  <c r="AH726" i="3"/>
  <c r="F726" i="3" l="1"/>
  <c r="I726" i="3"/>
  <c r="J726" i="3"/>
  <c r="M726" i="3"/>
  <c r="N726" i="3" s="1"/>
  <c r="V726" i="3"/>
  <c r="A727" i="3"/>
  <c r="B727" i="3" s="1"/>
  <c r="W726" i="3" l="1"/>
  <c r="L726" i="3"/>
  <c r="P727" i="3"/>
  <c r="Q727" i="3" s="1"/>
  <c r="R727" i="3" s="1"/>
  <c r="S727" i="3" s="1"/>
  <c r="Z727" i="3"/>
  <c r="AA727" i="3"/>
  <c r="AC727" i="3"/>
  <c r="AD727" i="3"/>
  <c r="U726" i="3" l="1"/>
  <c r="Y725" i="3"/>
  <c r="T727" i="3"/>
  <c r="AH727" i="3" s="1"/>
  <c r="E727" i="3" l="1"/>
  <c r="H727" i="3" s="1"/>
  <c r="K727" i="3" s="1"/>
  <c r="AE727" i="3" s="1"/>
  <c r="D727" i="3"/>
  <c r="AG727" i="3"/>
  <c r="F727" i="3" l="1"/>
  <c r="G727" i="3"/>
  <c r="M727" i="3" s="1"/>
  <c r="N727" i="3" s="1"/>
  <c r="V727" i="3"/>
  <c r="A728" i="3"/>
  <c r="B728" i="3" s="1"/>
  <c r="I727" i="3" l="1"/>
  <c r="W727" i="3" s="1"/>
  <c r="J727" i="3"/>
  <c r="L727" i="3" s="1"/>
  <c r="AA728" i="3"/>
  <c r="P728" i="3"/>
  <c r="Q728" i="3" s="1"/>
  <c r="R728" i="3" s="1"/>
  <c r="S728" i="3" s="1"/>
  <c r="AC728" i="3"/>
  <c r="Z728" i="3"/>
  <c r="AD728" i="3"/>
  <c r="U727" i="3" l="1"/>
  <c r="Y726" i="3"/>
  <c r="T728" i="3"/>
  <c r="D728" i="3" l="1"/>
  <c r="G728" i="3" s="1"/>
  <c r="AG728" i="3"/>
  <c r="E728" i="3"/>
  <c r="H728" i="3" s="1"/>
  <c r="AH728" i="3"/>
  <c r="F728" i="3" l="1"/>
  <c r="I728" i="3"/>
  <c r="J728" i="3"/>
  <c r="M728" i="3"/>
  <c r="N728" i="3" s="1"/>
  <c r="K728" i="3"/>
  <c r="AE728" i="3" s="1"/>
  <c r="V728" i="3" l="1"/>
  <c r="W728" i="3" s="1"/>
  <c r="A729" i="3"/>
  <c r="B729" i="3" s="1"/>
  <c r="L728" i="3"/>
  <c r="U728" i="3" l="1"/>
  <c r="Y727" i="3"/>
  <c r="P729" i="3"/>
  <c r="Q729" i="3" s="1"/>
  <c r="R729" i="3" s="1"/>
  <c r="S729" i="3" s="1"/>
  <c r="AA729" i="3"/>
  <c r="AD729" i="3"/>
  <c r="AC729" i="3"/>
  <c r="Z729" i="3"/>
  <c r="T729" i="3" l="1"/>
  <c r="E729" i="3" s="1"/>
  <c r="H729" i="3" s="1"/>
  <c r="AH729" i="3" l="1"/>
  <c r="D729" i="3"/>
  <c r="F729" i="3" s="1"/>
  <c r="AG729" i="3"/>
  <c r="K729" i="3"/>
  <c r="AE729" i="3" s="1"/>
  <c r="G729" i="3" l="1"/>
  <c r="I729" i="3" s="1"/>
  <c r="V729" i="3"/>
  <c r="A730" i="3"/>
  <c r="B730" i="3" s="1"/>
  <c r="W729" i="3" l="1"/>
  <c r="J729" i="3"/>
  <c r="L729" i="3" s="1"/>
  <c r="M729" i="3"/>
  <c r="N729" i="3" s="1"/>
  <c r="AA730" i="3"/>
  <c r="Z730" i="3"/>
  <c r="AD730" i="3"/>
  <c r="P730" i="3"/>
  <c r="Q730" i="3" s="1"/>
  <c r="R730" i="3" s="1"/>
  <c r="S730" i="3" s="1"/>
  <c r="AC730" i="3"/>
  <c r="U729" i="3" l="1"/>
  <c r="Y728" i="3"/>
  <c r="T730" i="3"/>
  <c r="AG730" i="3" s="1"/>
  <c r="D730" i="3" l="1"/>
  <c r="E730" i="3"/>
  <c r="H730" i="3" s="1"/>
  <c r="AH730" i="3"/>
  <c r="K730" i="3" l="1"/>
  <c r="AE730" i="3" s="1"/>
  <c r="F730" i="3"/>
  <c r="G730" i="3"/>
  <c r="I730" i="3" l="1"/>
  <c r="J730" i="3"/>
  <c r="M730" i="3"/>
  <c r="N730" i="3" s="1"/>
  <c r="V730" i="3"/>
  <c r="A731" i="3"/>
  <c r="B731" i="3" s="1"/>
  <c r="W730" i="3" l="1"/>
  <c r="L730" i="3"/>
  <c r="P731" i="3"/>
  <c r="Q731" i="3" s="1"/>
  <c r="R731" i="3" s="1"/>
  <c r="S731" i="3" s="1"/>
  <c r="Z731" i="3"/>
  <c r="AA731" i="3"/>
  <c r="AD731" i="3"/>
  <c r="AC731" i="3"/>
  <c r="U730" i="3" l="1"/>
  <c r="Y729" i="3"/>
  <c r="T731" i="3"/>
  <c r="AG731" i="3" s="1"/>
  <c r="E731" i="3" l="1"/>
  <c r="H731" i="3" s="1"/>
  <c r="K731" i="3" s="1"/>
  <c r="AE731" i="3" s="1"/>
  <c r="AH731" i="3"/>
  <c r="D731" i="3"/>
  <c r="F731" i="3" l="1"/>
  <c r="G731" i="3"/>
  <c r="J731" i="3" s="1"/>
  <c r="V731" i="3"/>
  <c r="A732" i="3"/>
  <c r="B732" i="3" s="1"/>
  <c r="M731" i="3" l="1"/>
  <c r="N731" i="3" s="1"/>
  <c r="I731" i="3"/>
  <c r="W731" i="3" s="1"/>
  <c r="L731" i="3"/>
  <c r="AC732" i="3"/>
  <c r="Z732" i="3"/>
  <c r="AD732" i="3"/>
  <c r="AA732" i="3"/>
  <c r="P732" i="3"/>
  <c r="Q732" i="3" s="1"/>
  <c r="R732" i="3" s="1"/>
  <c r="S732" i="3" s="1"/>
  <c r="U731" i="3" l="1"/>
  <c r="Y730" i="3"/>
  <c r="T732" i="3"/>
  <c r="E732" i="3" l="1"/>
  <c r="H732" i="3" s="1"/>
  <c r="K732" i="3" s="1"/>
  <c r="AE732" i="3" s="1"/>
  <c r="D732" i="3"/>
  <c r="G732" i="3" s="1"/>
  <c r="AH732" i="3"/>
  <c r="AG732" i="3"/>
  <c r="F732" i="3" l="1"/>
  <c r="I732" i="3"/>
  <c r="J732" i="3"/>
  <c r="M732" i="3"/>
  <c r="N732" i="3" s="1"/>
  <c r="V732" i="3"/>
  <c r="A733" i="3"/>
  <c r="B733" i="3" s="1"/>
  <c r="W732" i="3" l="1"/>
  <c r="L732" i="3"/>
  <c r="AC733" i="3"/>
  <c r="P733" i="3"/>
  <c r="Q733" i="3" s="1"/>
  <c r="R733" i="3" s="1"/>
  <c r="S733" i="3" s="1"/>
  <c r="AA733" i="3"/>
  <c r="Z733" i="3"/>
  <c r="AD733" i="3"/>
  <c r="T733" i="3" l="1"/>
  <c r="AH733" i="3" s="1"/>
  <c r="U732" i="3"/>
  <c r="Y731" i="3"/>
  <c r="D733" i="3" l="1"/>
  <c r="G733" i="3" s="1"/>
  <c r="E733" i="3"/>
  <c r="H733" i="3" s="1"/>
  <c r="AG733" i="3"/>
  <c r="F733" i="3" l="1"/>
  <c r="I733" i="3"/>
  <c r="J733" i="3"/>
  <c r="M733" i="3"/>
  <c r="N733" i="3" s="1"/>
  <c r="K733" i="3"/>
  <c r="AE733" i="3" s="1"/>
  <c r="V733" i="3" l="1"/>
  <c r="W733" i="3" s="1"/>
  <c r="A734" i="3"/>
  <c r="B734" i="3" s="1"/>
  <c r="L733" i="3"/>
  <c r="U733" i="3" l="1"/>
  <c r="Y732" i="3"/>
  <c r="P734" i="3"/>
  <c r="Q734" i="3" s="1"/>
  <c r="R734" i="3" s="1"/>
  <c r="S734" i="3" s="1"/>
  <c r="AC734" i="3"/>
  <c r="AA734" i="3"/>
  <c r="Z734" i="3"/>
  <c r="T734" i="3" l="1"/>
  <c r="AG734" i="3" s="1"/>
  <c r="D734" i="3" l="1"/>
  <c r="E734" i="3"/>
  <c r="H734" i="3" s="1"/>
  <c r="K734" i="3" s="1"/>
  <c r="AE734" i="3" s="1"/>
  <c r="AH734" i="3"/>
  <c r="F734" i="3" l="1"/>
  <c r="G734" i="3"/>
  <c r="M734" i="3" s="1"/>
  <c r="N734" i="3" s="1"/>
  <c r="V734" i="3"/>
  <c r="A735" i="3"/>
  <c r="B735" i="3" s="1"/>
  <c r="I734" i="3" l="1"/>
  <c r="W734" i="3" s="1"/>
  <c r="J734" i="3"/>
  <c r="AA735" i="3"/>
  <c r="Z735" i="3"/>
  <c r="P735" i="3"/>
  <c r="Q735" i="3" s="1"/>
  <c r="R735" i="3" s="1"/>
  <c r="S735" i="3" s="1"/>
  <c r="AC735" i="3"/>
  <c r="AD735" i="3"/>
  <c r="L734" i="3" l="1"/>
  <c r="Y733" i="3" s="1"/>
  <c r="AD734" i="3"/>
  <c r="T735" i="3"/>
  <c r="U734" i="3" l="1"/>
  <c r="E735" i="3" s="1"/>
  <c r="H735" i="3" s="1"/>
  <c r="AH735" i="3"/>
  <c r="AG735" i="3"/>
  <c r="D735" i="3" l="1"/>
  <c r="G735" i="3" s="1"/>
  <c r="M735" i="3" s="1"/>
  <c r="N735" i="3" s="1"/>
  <c r="K735" i="3"/>
  <c r="AE735" i="3" s="1"/>
  <c r="F735" i="3" l="1"/>
  <c r="I735" i="3"/>
  <c r="J735" i="3"/>
  <c r="L735" i="3" s="1"/>
  <c r="V735" i="3"/>
  <c r="A736" i="3"/>
  <c r="B736" i="3" s="1"/>
  <c r="W735" i="3" l="1"/>
  <c r="U735" i="3"/>
  <c r="Y734" i="3"/>
  <c r="Z736" i="3"/>
  <c r="P736" i="3"/>
  <c r="Q736" i="3" s="1"/>
  <c r="R736" i="3" s="1"/>
  <c r="S736" i="3" s="1"/>
  <c r="AA736" i="3"/>
  <c r="AD736" i="3"/>
  <c r="AC736" i="3"/>
  <c r="T736" i="3" l="1"/>
  <c r="E736" i="3" s="1"/>
  <c r="H736" i="3" s="1"/>
  <c r="AH736" i="3" l="1"/>
  <c r="D736" i="3"/>
  <c r="F736" i="3" s="1"/>
  <c r="K736" i="3"/>
  <c r="AE736" i="3" s="1"/>
  <c r="AG736" i="3"/>
  <c r="G736" i="3" l="1"/>
  <c r="M736" i="3" s="1"/>
  <c r="N736" i="3" s="1"/>
  <c r="V736" i="3"/>
  <c r="A737" i="3"/>
  <c r="B737" i="3" s="1"/>
  <c r="I736" i="3" l="1"/>
  <c r="W736" i="3" s="1"/>
  <c r="J736" i="3"/>
  <c r="L736" i="3" s="1"/>
  <c r="AC737" i="3"/>
  <c r="P737" i="3"/>
  <c r="Q737" i="3" s="1"/>
  <c r="R737" i="3" s="1"/>
  <c r="S737" i="3" s="1"/>
  <c r="AD737" i="3"/>
  <c r="Z737" i="3"/>
  <c r="AA737" i="3"/>
  <c r="U736" i="3" l="1"/>
  <c r="Y735" i="3"/>
  <c r="T737" i="3"/>
  <c r="AH737" i="3" s="1"/>
  <c r="D737" i="3" l="1"/>
  <c r="E737" i="3"/>
  <c r="H737" i="3" s="1"/>
  <c r="AG737" i="3"/>
  <c r="F737" i="3" l="1"/>
  <c r="G737" i="3"/>
  <c r="K737" i="3"/>
  <c r="AE737" i="3" s="1"/>
  <c r="V737" i="3" l="1"/>
  <c r="A738" i="3"/>
  <c r="B738" i="3" s="1"/>
  <c r="I737" i="3"/>
  <c r="J737" i="3"/>
  <c r="M737" i="3"/>
  <c r="N737" i="3" s="1"/>
  <c r="W737" i="3" l="1"/>
  <c r="L737" i="3"/>
  <c r="AA738" i="3"/>
  <c r="P738" i="3"/>
  <c r="Q738" i="3" s="1"/>
  <c r="R738" i="3" s="1"/>
  <c r="S738" i="3" s="1"/>
  <c r="AC738" i="3"/>
  <c r="Z738" i="3"/>
  <c r="AD738" i="3"/>
  <c r="U737" i="3" l="1"/>
  <c r="Y736" i="3"/>
  <c r="T738" i="3"/>
  <c r="E738" i="3" l="1"/>
  <c r="H738" i="3" s="1"/>
  <c r="K738" i="3" s="1"/>
  <c r="AE738" i="3" s="1"/>
  <c r="D738" i="3"/>
  <c r="AG738" i="3"/>
  <c r="AH738" i="3"/>
  <c r="V738" i="3" l="1"/>
  <c r="A739" i="3"/>
  <c r="B739" i="3" s="1"/>
  <c r="F738" i="3"/>
  <c r="G738" i="3"/>
  <c r="I738" i="3" l="1"/>
  <c r="W738" i="3" s="1"/>
  <c r="J738" i="3"/>
  <c r="M738" i="3"/>
  <c r="N738" i="3" s="1"/>
  <c r="P739" i="3"/>
  <c r="Q739" i="3" s="1"/>
  <c r="R739" i="3" s="1"/>
  <c r="S739" i="3" s="1"/>
  <c r="AC739" i="3"/>
  <c r="AA739" i="3"/>
  <c r="AD739" i="3"/>
  <c r="Z739" i="3"/>
  <c r="T739" i="3" l="1"/>
  <c r="L738" i="3"/>
  <c r="AH739" i="3" l="1"/>
  <c r="U738" i="3"/>
  <c r="E739" i="3" s="1"/>
  <c r="H739" i="3" s="1"/>
  <c r="AG739" i="3"/>
  <c r="Y737" i="3"/>
  <c r="D739" i="3" l="1"/>
  <c r="G739" i="3" s="1"/>
  <c r="K739" i="3"/>
  <c r="AE739" i="3" s="1"/>
  <c r="F739" i="3" l="1"/>
  <c r="I739" i="3"/>
  <c r="J739" i="3"/>
  <c r="M739" i="3"/>
  <c r="N739" i="3" s="1"/>
  <c r="V739" i="3"/>
  <c r="A740" i="3"/>
  <c r="B740" i="3" s="1"/>
  <c r="W739" i="3" l="1"/>
  <c r="L739" i="3"/>
  <c r="P740" i="3"/>
  <c r="Q740" i="3" s="1"/>
  <c r="R740" i="3" s="1"/>
  <c r="S740" i="3" s="1"/>
  <c r="Z740" i="3"/>
  <c r="AC740" i="3"/>
  <c r="AD740" i="3"/>
  <c r="AA740" i="3"/>
  <c r="U739" i="3" l="1"/>
  <c r="Y738" i="3"/>
  <c r="T740" i="3"/>
  <c r="E740" i="3" l="1"/>
  <c r="H740" i="3" s="1"/>
  <c r="K740" i="3" s="1"/>
  <c r="AE740" i="3" s="1"/>
  <c r="D740" i="3"/>
  <c r="G740" i="3" s="1"/>
  <c r="AH740" i="3"/>
  <c r="AG740" i="3"/>
  <c r="F740" i="3" l="1"/>
  <c r="I740" i="3"/>
  <c r="J740" i="3"/>
  <c r="M740" i="3"/>
  <c r="N740" i="3" s="1"/>
  <c r="V740" i="3"/>
  <c r="A741" i="3"/>
  <c r="B741" i="3" s="1"/>
  <c r="W740" i="3" l="1"/>
  <c r="L740" i="3"/>
  <c r="AA741" i="3"/>
  <c r="P741" i="3"/>
  <c r="Q741" i="3" s="1"/>
  <c r="R741" i="3" s="1"/>
  <c r="S741" i="3" s="1"/>
  <c r="AD741" i="3"/>
  <c r="Z741" i="3"/>
  <c r="AC741" i="3"/>
  <c r="T741" i="3" l="1"/>
  <c r="AG741" i="3" s="1"/>
  <c r="U740" i="3"/>
  <c r="Y739" i="3"/>
  <c r="E741" i="3" l="1"/>
  <c r="H741" i="3" s="1"/>
  <c r="D741" i="3"/>
  <c r="AH741" i="3"/>
  <c r="K741" i="3" l="1"/>
  <c r="AE741" i="3" s="1"/>
  <c r="F741" i="3"/>
  <c r="G741" i="3"/>
  <c r="V741" i="3" l="1"/>
  <c r="A742" i="3"/>
  <c r="B742" i="3" s="1"/>
  <c r="I741" i="3"/>
  <c r="J741" i="3"/>
  <c r="M741" i="3"/>
  <c r="N741" i="3" s="1"/>
  <c r="L741" i="3" l="1"/>
  <c r="W741" i="3"/>
  <c r="AC742" i="3"/>
  <c r="P742" i="3"/>
  <c r="Q742" i="3" s="1"/>
  <c r="R742" i="3" s="1"/>
  <c r="S742" i="3" s="1"/>
  <c r="AD742" i="3"/>
  <c r="Z742" i="3"/>
  <c r="AA742" i="3"/>
  <c r="U741" i="3" l="1"/>
  <c r="Y740" i="3"/>
  <c r="T742" i="3"/>
  <c r="AG742" i="3" s="1"/>
  <c r="E742" i="3" l="1"/>
  <c r="H742" i="3" s="1"/>
  <c r="K742" i="3" s="1"/>
  <c r="AE742" i="3" s="1"/>
  <c r="AH742" i="3"/>
  <c r="D742" i="3"/>
  <c r="F742" i="3" l="1"/>
  <c r="G742" i="3"/>
  <c r="V742" i="3"/>
  <c r="A743" i="3"/>
  <c r="B743" i="3" s="1"/>
  <c r="I742" i="3" l="1"/>
  <c r="W742" i="3" s="1"/>
  <c r="J742" i="3"/>
  <c r="M742" i="3"/>
  <c r="N742" i="3" s="1"/>
  <c r="Z743" i="3"/>
  <c r="AA743" i="3"/>
  <c r="P743" i="3"/>
  <c r="Q743" i="3" s="1"/>
  <c r="R743" i="3" s="1"/>
  <c r="S743" i="3" s="1"/>
  <c r="AC743" i="3"/>
  <c r="AD743" i="3"/>
  <c r="T743" i="3" l="1"/>
  <c r="L742" i="3"/>
  <c r="U742" i="3" l="1"/>
  <c r="E743" i="3" s="1"/>
  <c r="H743" i="3" s="1"/>
  <c r="AH743" i="3"/>
  <c r="AG743" i="3"/>
  <c r="Y741" i="3"/>
  <c r="D743" i="3" l="1"/>
  <c r="G743" i="3" s="1"/>
  <c r="K743" i="3"/>
  <c r="AE743" i="3" s="1"/>
  <c r="F743" i="3" l="1"/>
  <c r="I743" i="3"/>
  <c r="J743" i="3"/>
  <c r="M743" i="3"/>
  <c r="N743" i="3" s="1"/>
  <c r="V743" i="3"/>
  <c r="A744" i="3"/>
  <c r="B744" i="3" s="1"/>
  <c r="W743" i="3" l="1"/>
  <c r="L743" i="3"/>
  <c r="AA744" i="3"/>
  <c r="P744" i="3"/>
  <c r="Q744" i="3" s="1"/>
  <c r="R744" i="3" s="1"/>
  <c r="S744" i="3" s="1"/>
  <c r="AC744" i="3"/>
  <c r="Z744" i="3"/>
  <c r="U743" i="3" l="1"/>
  <c r="Y742" i="3"/>
  <c r="T744" i="3"/>
  <c r="AG744" i="3" s="1"/>
  <c r="E744" i="3" l="1"/>
  <c r="H744" i="3" s="1"/>
  <c r="K744" i="3" s="1"/>
  <c r="AE744" i="3" s="1"/>
  <c r="D744" i="3"/>
  <c r="AH744" i="3"/>
  <c r="F744" i="3" l="1"/>
  <c r="G744" i="3"/>
  <c r="I744" i="3" s="1"/>
  <c r="V744" i="3"/>
  <c r="A745" i="3"/>
  <c r="B745" i="3" s="1"/>
  <c r="J744" i="3" l="1"/>
  <c r="M744" i="3"/>
  <c r="N744" i="3" s="1"/>
  <c r="W744" i="3"/>
  <c r="P745" i="3"/>
  <c r="Q745" i="3" s="1"/>
  <c r="R745" i="3" s="1"/>
  <c r="S745" i="3" s="1"/>
  <c r="AA745" i="3"/>
  <c r="AC745" i="3"/>
  <c r="AD745" i="3"/>
  <c r="Z745" i="3"/>
  <c r="L744" i="3" l="1"/>
  <c r="U744" i="3" s="1"/>
  <c r="AD744" i="3"/>
  <c r="T745" i="3"/>
  <c r="Y743" i="3" l="1"/>
  <c r="AG745" i="3"/>
  <c r="E745" i="3"/>
  <c r="H745" i="3" s="1"/>
  <c r="K745" i="3" s="1"/>
  <c r="AE745" i="3" s="1"/>
  <c r="D745" i="3"/>
  <c r="AH745" i="3"/>
  <c r="F745" i="3" l="1"/>
  <c r="G745" i="3"/>
  <c r="M745" i="3" s="1"/>
  <c r="N745" i="3" s="1"/>
  <c r="V745" i="3"/>
  <c r="A746" i="3"/>
  <c r="B746" i="3" s="1"/>
  <c r="I745" i="3" l="1"/>
  <c r="W745" i="3" s="1"/>
  <c r="J745" i="3"/>
  <c r="L745" i="3" s="1"/>
  <c r="Z746" i="3"/>
  <c r="AD746" i="3"/>
  <c r="P746" i="3"/>
  <c r="Q746" i="3" s="1"/>
  <c r="R746" i="3" s="1"/>
  <c r="S746" i="3" s="1"/>
  <c r="AA746" i="3"/>
  <c r="AC746" i="3"/>
  <c r="U745" i="3" l="1"/>
  <c r="Y744" i="3"/>
  <c r="T746" i="3"/>
  <c r="D746" i="3" l="1"/>
  <c r="G746" i="3" s="1"/>
  <c r="AG746" i="3"/>
  <c r="E746" i="3"/>
  <c r="H746" i="3" s="1"/>
  <c r="AH746" i="3"/>
  <c r="F746" i="3" l="1"/>
  <c r="I746" i="3"/>
  <c r="J746" i="3"/>
  <c r="M746" i="3"/>
  <c r="N746" i="3" s="1"/>
  <c r="K746" i="3"/>
  <c r="AE746" i="3" s="1"/>
  <c r="V746" i="3" l="1"/>
  <c r="W746" i="3" s="1"/>
  <c r="A747" i="3"/>
  <c r="B747" i="3" s="1"/>
  <c r="L746" i="3"/>
  <c r="U746" i="3" l="1"/>
  <c r="Y745" i="3"/>
  <c r="AA747" i="3"/>
  <c r="AD747" i="3"/>
  <c r="Z747" i="3"/>
  <c r="AC747" i="3"/>
  <c r="P747" i="3"/>
  <c r="Q747" i="3" s="1"/>
  <c r="R747" i="3" s="1"/>
  <c r="S747" i="3" s="1"/>
  <c r="T747" i="3" l="1"/>
  <c r="D747" i="3" s="1"/>
  <c r="AG747" i="3" l="1"/>
  <c r="E747" i="3"/>
  <c r="H747" i="3" s="1"/>
  <c r="K747" i="3" s="1"/>
  <c r="AE747" i="3" s="1"/>
  <c r="AH747" i="3"/>
  <c r="G747" i="3"/>
  <c r="F747" i="3" l="1"/>
  <c r="I747" i="3"/>
  <c r="J747" i="3"/>
  <c r="M747" i="3"/>
  <c r="N747" i="3" s="1"/>
  <c r="V747" i="3"/>
  <c r="A748" i="3"/>
  <c r="B748" i="3" s="1"/>
  <c r="W747" i="3" l="1"/>
  <c r="L747" i="3"/>
  <c r="AC748" i="3"/>
  <c r="P748" i="3"/>
  <c r="Q748" i="3" s="1"/>
  <c r="R748" i="3" s="1"/>
  <c r="S748" i="3" s="1"/>
  <c r="AD748" i="3"/>
  <c r="Z748" i="3"/>
  <c r="AA748" i="3"/>
  <c r="U747" i="3" l="1"/>
  <c r="Y746" i="3"/>
  <c r="T748" i="3"/>
  <c r="E748" i="3" l="1"/>
  <c r="H748" i="3" s="1"/>
  <c r="K748" i="3" s="1"/>
  <c r="AE748" i="3" s="1"/>
  <c r="D748" i="3"/>
  <c r="AH748" i="3"/>
  <c r="AG748" i="3"/>
  <c r="V748" i="3" l="1"/>
  <c r="A749" i="3"/>
  <c r="B749" i="3" s="1"/>
  <c r="F748" i="3"/>
  <c r="G748" i="3"/>
  <c r="I748" i="3" l="1"/>
  <c r="W748" i="3" s="1"/>
  <c r="J748" i="3"/>
  <c r="M748" i="3"/>
  <c r="N748" i="3" s="1"/>
  <c r="AA749" i="3"/>
  <c r="Z749" i="3"/>
  <c r="P749" i="3"/>
  <c r="Q749" i="3" s="1"/>
  <c r="R749" i="3" s="1"/>
  <c r="S749" i="3" s="1"/>
  <c r="AC749" i="3"/>
  <c r="AD749" i="3"/>
  <c r="T749" i="3" l="1"/>
  <c r="L748" i="3"/>
  <c r="U748" i="3" l="1"/>
  <c r="E749" i="3" s="1"/>
  <c r="H749" i="3" s="1"/>
  <c r="AG749" i="3"/>
  <c r="AH749" i="3"/>
  <c r="Y747" i="3"/>
  <c r="K749" i="3" l="1"/>
  <c r="AE749" i="3" s="1"/>
  <c r="D749" i="3"/>
  <c r="V749" i="3" l="1"/>
  <c r="A750" i="3"/>
  <c r="B750" i="3" s="1"/>
  <c r="F749" i="3"/>
  <c r="G749" i="3"/>
  <c r="I749" i="3" l="1"/>
  <c r="W749" i="3" s="1"/>
  <c r="J749" i="3"/>
  <c r="M749" i="3"/>
  <c r="N749" i="3" s="1"/>
  <c r="AA750" i="3"/>
  <c r="AC750" i="3"/>
  <c r="Z750" i="3"/>
  <c r="AD750" i="3"/>
  <c r="P750" i="3"/>
  <c r="Q750" i="3" s="1"/>
  <c r="R750" i="3" s="1"/>
  <c r="S750" i="3" s="1"/>
  <c r="T750" i="3" l="1"/>
  <c r="L749" i="3"/>
  <c r="AH750" i="3" l="1"/>
  <c r="AG750" i="3"/>
  <c r="U749" i="3"/>
  <c r="D750" i="3" s="1"/>
  <c r="Y748" i="3"/>
  <c r="G750" i="3" l="1"/>
  <c r="E750" i="3"/>
  <c r="H750" i="3" s="1"/>
  <c r="F750" i="3" l="1"/>
  <c r="I750" i="3"/>
  <c r="J750" i="3"/>
  <c r="M750" i="3"/>
  <c r="N750" i="3" s="1"/>
  <c r="K750" i="3"/>
  <c r="AE750" i="3" s="1"/>
  <c r="V750" i="3" l="1"/>
  <c r="W750" i="3" s="1"/>
  <c r="A751" i="3"/>
  <c r="B751" i="3" s="1"/>
  <c r="L750" i="3"/>
  <c r="U750" i="3" l="1"/>
  <c r="Y749" i="3"/>
  <c r="P751" i="3"/>
  <c r="Q751" i="3" s="1"/>
  <c r="R751" i="3" s="1"/>
  <c r="S751" i="3" s="1"/>
  <c r="Z751" i="3"/>
  <c r="AA751" i="3"/>
  <c r="AC751" i="3"/>
  <c r="AD751" i="3"/>
  <c r="T751" i="3" l="1"/>
  <c r="AH751" i="3" s="1"/>
  <c r="E751" i="3" l="1"/>
  <c r="H751" i="3" s="1"/>
  <c r="K751" i="3" s="1"/>
  <c r="AE751" i="3" s="1"/>
  <c r="AG751" i="3"/>
  <c r="D751" i="3"/>
  <c r="F751" i="3" l="1"/>
  <c r="G751" i="3"/>
  <c r="V751" i="3"/>
  <c r="A752" i="3"/>
  <c r="B752" i="3" s="1"/>
  <c r="AA752" i="3" l="1"/>
  <c r="AD752" i="3"/>
  <c r="Z752" i="3"/>
  <c r="AC752" i="3"/>
  <c r="P752" i="3"/>
  <c r="Q752" i="3" s="1"/>
  <c r="R752" i="3" s="1"/>
  <c r="S752" i="3" s="1"/>
  <c r="I751" i="3"/>
  <c r="W751" i="3" s="1"/>
  <c r="J751" i="3"/>
  <c r="M751" i="3"/>
  <c r="N751" i="3" s="1"/>
  <c r="L751" i="3" l="1"/>
  <c r="T752" i="3"/>
  <c r="U751" i="3" l="1"/>
  <c r="E752" i="3" s="1"/>
  <c r="H752" i="3" s="1"/>
  <c r="AG752" i="3"/>
  <c r="AH752" i="3"/>
  <c r="Y750" i="3"/>
  <c r="K752" i="3" l="1"/>
  <c r="AE752" i="3" s="1"/>
  <c r="D752" i="3"/>
  <c r="V752" i="3" l="1"/>
  <c r="A753" i="3"/>
  <c r="B753" i="3" s="1"/>
  <c r="F752" i="3"/>
  <c r="G752" i="3"/>
  <c r="I752" i="3" l="1"/>
  <c r="W752" i="3" s="1"/>
  <c r="J752" i="3"/>
  <c r="M752" i="3"/>
  <c r="N752" i="3" s="1"/>
  <c r="AD753" i="3"/>
  <c r="AA753" i="3"/>
  <c r="Z753" i="3"/>
  <c r="P753" i="3"/>
  <c r="Q753" i="3" s="1"/>
  <c r="R753" i="3" s="1"/>
  <c r="S753" i="3" s="1"/>
  <c r="AC753" i="3"/>
  <c r="T753" i="3" l="1"/>
  <c r="L752" i="3"/>
  <c r="AG753" i="3" l="1"/>
  <c r="U752" i="3"/>
  <c r="E753" i="3" s="1"/>
  <c r="H753" i="3" s="1"/>
  <c r="AH753" i="3"/>
  <c r="Y751" i="3"/>
  <c r="K753" i="3" l="1"/>
  <c r="AE753" i="3" s="1"/>
  <c r="D753" i="3"/>
  <c r="V753" i="3" l="1"/>
  <c r="A754" i="3"/>
  <c r="B754" i="3" s="1"/>
  <c r="F753" i="3"/>
  <c r="G753" i="3"/>
  <c r="I753" i="3" l="1"/>
  <c r="W753" i="3" s="1"/>
  <c r="J753" i="3"/>
  <c r="M753" i="3"/>
  <c r="N753" i="3" s="1"/>
  <c r="AC754" i="3"/>
  <c r="P754" i="3"/>
  <c r="Q754" i="3" s="1"/>
  <c r="R754" i="3" s="1"/>
  <c r="S754" i="3" s="1"/>
  <c r="Z754" i="3"/>
  <c r="AA754" i="3"/>
  <c r="T754" i="3" l="1"/>
  <c r="L753" i="3"/>
  <c r="AG754" i="3" l="1"/>
  <c r="AH754" i="3"/>
  <c r="U753" i="3"/>
  <c r="E754" i="3" s="1"/>
  <c r="H754" i="3" s="1"/>
  <c r="Y752" i="3"/>
  <c r="D754" i="3" l="1"/>
  <c r="G754" i="3" s="1"/>
  <c r="K754" i="3"/>
  <c r="AE754" i="3" s="1"/>
  <c r="F754" i="3" l="1"/>
  <c r="I754" i="3"/>
  <c r="J754" i="3"/>
  <c r="AD754" i="3" s="1"/>
  <c r="M754" i="3"/>
  <c r="N754" i="3" s="1"/>
  <c r="V754" i="3"/>
  <c r="A755" i="3"/>
  <c r="B755" i="3" s="1"/>
  <c r="W754" i="3" l="1"/>
  <c r="L754" i="3"/>
  <c r="AD755" i="3"/>
  <c r="AC755" i="3"/>
  <c r="AA755" i="3"/>
  <c r="P755" i="3"/>
  <c r="Q755" i="3" s="1"/>
  <c r="R755" i="3" s="1"/>
  <c r="S755" i="3" s="1"/>
  <c r="Z755" i="3"/>
  <c r="T755" i="3" l="1"/>
  <c r="U754" i="3"/>
  <c r="Y753" i="3"/>
  <c r="E755" i="3" l="1"/>
  <c r="H755" i="3" s="1"/>
  <c r="K755" i="3" s="1"/>
  <c r="AE755" i="3" s="1"/>
  <c r="AH755" i="3"/>
  <c r="AG755" i="3"/>
  <c r="D755" i="3"/>
  <c r="F755" i="3" l="1"/>
  <c r="G755" i="3"/>
  <c r="V755" i="3"/>
  <c r="A756" i="3"/>
  <c r="B756" i="3" s="1"/>
  <c r="P756" i="3" l="1"/>
  <c r="Q756" i="3" s="1"/>
  <c r="R756" i="3" s="1"/>
  <c r="S756" i="3" s="1"/>
  <c r="Z756" i="3"/>
  <c r="AA756" i="3"/>
  <c r="AC756" i="3"/>
  <c r="AD756" i="3"/>
  <c r="I755" i="3"/>
  <c r="W755" i="3" s="1"/>
  <c r="J755" i="3"/>
  <c r="M755" i="3"/>
  <c r="N755" i="3" s="1"/>
  <c r="T756" i="3" l="1"/>
  <c r="L755" i="3"/>
  <c r="AG756" i="3" l="1"/>
  <c r="U755" i="3"/>
  <c r="E756" i="3" s="1"/>
  <c r="H756" i="3" s="1"/>
  <c r="AH756" i="3"/>
  <c r="Y754" i="3"/>
  <c r="D756" i="3" l="1"/>
  <c r="F756" i="3" s="1"/>
  <c r="K756" i="3"/>
  <c r="AE756" i="3" s="1"/>
  <c r="G756" i="3" l="1"/>
  <c r="M756" i="3" s="1"/>
  <c r="N756" i="3" s="1"/>
  <c r="V756" i="3"/>
  <c r="A757" i="3"/>
  <c r="B757" i="3" s="1"/>
  <c r="I756" i="3" l="1"/>
  <c r="W756" i="3" s="1"/>
  <c r="J756" i="3"/>
  <c r="L756" i="3" s="1"/>
  <c r="AD757" i="3"/>
  <c r="AC757" i="3"/>
  <c r="P757" i="3"/>
  <c r="Q757" i="3" s="1"/>
  <c r="R757" i="3" s="1"/>
  <c r="S757" i="3" s="1"/>
  <c r="Z757" i="3"/>
  <c r="AA757" i="3"/>
  <c r="T757" i="3" l="1"/>
  <c r="U756" i="3"/>
  <c r="Y755" i="3"/>
  <c r="E757" i="3" l="1"/>
  <c r="H757" i="3" s="1"/>
  <c r="K757" i="3" s="1"/>
  <c r="AE757" i="3" s="1"/>
  <c r="AH757" i="3"/>
  <c r="D757" i="3"/>
  <c r="AG757" i="3"/>
  <c r="V757" i="3" l="1"/>
  <c r="A758" i="3"/>
  <c r="B758" i="3" s="1"/>
  <c r="F757" i="3"/>
  <c r="G757" i="3"/>
  <c r="I757" i="3" l="1"/>
  <c r="W757" i="3" s="1"/>
  <c r="J757" i="3"/>
  <c r="M757" i="3"/>
  <c r="N757" i="3" s="1"/>
  <c r="AA758" i="3"/>
  <c r="Z758" i="3"/>
  <c r="AD758" i="3"/>
  <c r="AC758" i="3"/>
  <c r="P758" i="3"/>
  <c r="Q758" i="3" s="1"/>
  <c r="R758" i="3" s="1"/>
  <c r="S758" i="3" s="1"/>
  <c r="T758" i="3" l="1"/>
  <c r="L757" i="3"/>
  <c r="AG758" i="3" l="1"/>
  <c r="U757" i="3"/>
  <c r="D758" i="3" s="1"/>
  <c r="AH758" i="3"/>
  <c r="Y756" i="3"/>
  <c r="E758" i="3" l="1"/>
  <c r="H758" i="3" s="1"/>
  <c r="K758" i="3" s="1"/>
  <c r="AE758" i="3" s="1"/>
  <c r="G758" i="3"/>
  <c r="F758" i="3" l="1"/>
  <c r="V758" i="3"/>
  <c r="A759" i="3"/>
  <c r="B759" i="3" s="1"/>
  <c r="I758" i="3"/>
  <c r="J758" i="3"/>
  <c r="M758" i="3"/>
  <c r="N758" i="3" s="1"/>
  <c r="L758" i="3" l="1"/>
  <c r="W758" i="3"/>
  <c r="AD759" i="3"/>
  <c r="P759" i="3"/>
  <c r="Q759" i="3" s="1"/>
  <c r="R759" i="3" s="1"/>
  <c r="S759" i="3" s="1"/>
  <c r="Z759" i="3"/>
  <c r="AA759" i="3"/>
  <c r="AC759" i="3"/>
  <c r="U758" i="3" l="1"/>
  <c r="Y757" i="3"/>
  <c r="T759" i="3"/>
  <c r="D759" i="3" l="1"/>
  <c r="G759" i="3" s="1"/>
  <c r="AG759" i="3"/>
  <c r="E759" i="3"/>
  <c r="H759" i="3" s="1"/>
  <c r="AH759" i="3"/>
  <c r="F759" i="3" l="1"/>
  <c r="I759" i="3"/>
  <c r="J759" i="3"/>
  <c r="M759" i="3"/>
  <c r="N759" i="3" s="1"/>
  <c r="K759" i="3"/>
  <c r="AE759" i="3" s="1"/>
  <c r="V759" i="3" l="1"/>
  <c r="W759" i="3" s="1"/>
  <c r="A760" i="3"/>
  <c r="B760" i="3" s="1"/>
  <c r="L759" i="3"/>
  <c r="U759" i="3" l="1"/>
  <c r="Y758" i="3"/>
  <c r="AA760" i="3"/>
  <c r="AC760" i="3"/>
  <c r="Z760" i="3"/>
  <c r="P760" i="3"/>
  <c r="Q760" i="3" s="1"/>
  <c r="R760" i="3" s="1"/>
  <c r="S760" i="3" s="1"/>
  <c r="AD760" i="3"/>
  <c r="T760" i="3" l="1"/>
  <c r="E760" i="3" s="1"/>
  <c r="H760" i="3" s="1"/>
  <c r="AH760" i="3" l="1"/>
  <c r="AG760" i="3"/>
  <c r="D760" i="3"/>
  <c r="G760" i="3" s="1"/>
  <c r="K760" i="3"/>
  <c r="AE760" i="3" s="1"/>
  <c r="F760" i="3" l="1"/>
  <c r="I760" i="3"/>
  <c r="J760" i="3"/>
  <c r="M760" i="3"/>
  <c r="N760" i="3" s="1"/>
  <c r="V760" i="3"/>
  <c r="A761" i="3"/>
  <c r="B761" i="3" s="1"/>
  <c r="W760" i="3" l="1"/>
  <c r="L760" i="3"/>
  <c r="P761" i="3"/>
  <c r="Q761" i="3" s="1"/>
  <c r="R761" i="3" s="1"/>
  <c r="S761" i="3" s="1"/>
  <c r="Z761" i="3"/>
  <c r="AA761" i="3"/>
  <c r="AD761" i="3"/>
  <c r="AC761" i="3"/>
  <c r="T761" i="3" l="1"/>
  <c r="U760" i="3"/>
  <c r="Y759" i="3"/>
  <c r="D761" i="3" l="1"/>
  <c r="G761" i="3" s="1"/>
  <c r="AG761" i="3"/>
  <c r="AH761" i="3"/>
  <c r="E761" i="3"/>
  <c r="H761" i="3" s="1"/>
  <c r="F761" i="3" l="1"/>
  <c r="I761" i="3"/>
  <c r="J761" i="3"/>
  <c r="M761" i="3"/>
  <c r="N761" i="3" s="1"/>
  <c r="K761" i="3"/>
  <c r="AE761" i="3" s="1"/>
  <c r="V761" i="3" l="1"/>
  <c r="W761" i="3" s="1"/>
  <c r="A762" i="3"/>
  <c r="B762" i="3" s="1"/>
  <c r="L761" i="3"/>
  <c r="U761" i="3" l="1"/>
  <c r="Y760" i="3"/>
  <c r="AA762" i="3"/>
  <c r="Z762" i="3"/>
  <c r="AC762" i="3"/>
  <c r="P762" i="3"/>
  <c r="Q762" i="3" s="1"/>
  <c r="R762" i="3" s="1"/>
  <c r="S762" i="3" s="1"/>
  <c r="AD762" i="3"/>
  <c r="T762" i="3" l="1"/>
  <c r="D762" i="3" s="1"/>
  <c r="E762" i="3" l="1"/>
  <c r="H762" i="3" s="1"/>
  <c r="K762" i="3" s="1"/>
  <c r="AE762" i="3" s="1"/>
  <c r="AH762" i="3"/>
  <c r="AG762" i="3"/>
  <c r="G762" i="3"/>
  <c r="F762" i="3" l="1"/>
  <c r="I762" i="3"/>
  <c r="J762" i="3"/>
  <c r="M762" i="3"/>
  <c r="N762" i="3" s="1"/>
  <c r="V762" i="3"/>
  <c r="A763" i="3"/>
  <c r="B763" i="3" s="1"/>
  <c r="W762" i="3" l="1"/>
  <c r="L762" i="3"/>
  <c r="AC763" i="3"/>
  <c r="Z763" i="3"/>
  <c r="AA763" i="3"/>
  <c r="P763" i="3"/>
  <c r="Q763" i="3" s="1"/>
  <c r="R763" i="3" s="1"/>
  <c r="S763" i="3" s="1"/>
  <c r="AD763" i="3"/>
  <c r="U762" i="3" l="1"/>
  <c r="Y761" i="3"/>
  <c r="T763" i="3"/>
  <c r="D763" i="3" l="1"/>
  <c r="G763" i="3" s="1"/>
  <c r="AG763" i="3"/>
  <c r="AH763" i="3"/>
  <c r="E763" i="3"/>
  <c r="H763" i="3" s="1"/>
  <c r="K763" i="3" s="1"/>
  <c r="AE763" i="3" s="1"/>
  <c r="F763" i="3" l="1"/>
  <c r="I763" i="3"/>
  <c r="J763" i="3"/>
  <c r="M763" i="3"/>
  <c r="N763" i="3" s="1"/>
  <c r="V763" i="3"/>
  <c r="A764" i="3"/>
  <c r="B764" i="3" s="1"/>
  <c r="W763" i="3" l="1"/>
  <c r="L763" i="3"/>
  <c r="Z764" i="3"/>
  <c r="P764" i="3"/>
  <c r="Q764" i="3" s="1"/>
  <c r="R764" i="3" s="1"/>
  <c r="S764" i="3" s="1"/>
  <c r="AC764" i="3"/>
  <c r="AA764" i="3"/>
  <c r="U763" i="3" l="1"/>
  <c r="Y762" i="3"/>
  <c r="T764" i="3"/>
  <c r="E764" i="3" l="1"/>
  <c r="H764" i="3" s="1"/>
  <c r="K764" i="3" s="1"/>
  <c r="AE764" i="3" s="1"/>
  <c r="AG764" i="3"/>
  <c r="D764" i="3"/>
  <c r="AH764" i="3"/>
  <c r="F764" i="3" l="1"/>
  <c r="G764" i="3"/>
  <c r="V764" i="3"/>
  <c r="A765" i="3"/>
  <c r="B765" i="3" s="1"/>
  <c r="P765" i="3" l="1"/>
  <c r="Q765" i="3" s="1"/>
  <c r="R765" i="3" s="1"/>
  <c r="S765" i="3" s="1"/>
  <c r="Z765" i="3"/>
  <c r="AA765" i="3"/>
  <c r="AC765" i="3"/>
  <c r="AD765" i="3"/>
  <c r="I764" i="3"/>
  <c r="W764" i="3" s="1"/>
  <c r="J764" i="3"/>
  <c r="AD764" i="3" s="1"/>
  <c r="M764" i="3"/>
  <c r="N764" i="3" s="1"/>
  <c r="T765" i="3" l="1"/>
  <c r="L764" i="3"/>
  <c r="AG765" i="3" l="1"/>
  <c r="AH765" i="3"/>
  <c r="U764" i="3"/>
  <c r="D765" i="3" s="1"/>
  <c r="Y763" i="3"/>
  <c r="E765" i="3" l="1"/>
  <c r="H765" i="3" s="1"/>
  <c r="K765" i="3" s="1"/>
  <c r="AE765" i="3" s="1"/>
  <c r="G765" i="3"/>
  <c r="F765" i="3" l="1"/>
  <c r="I765" i="3"/>
  <c r="J765" i="3"/>
  <c r="M765" i="3"/>
  <c r="N765" i="3" s="1"/>
  <c r="V765" i="3"/>
  <c r="A766" i="3"/>
  <c r="B766" i="3" s="1"/>
  <c r="W765" i="3" l="1"/>
  <c r="L765" i="3"/>
  <c r="AD766" i="3"/>
  <c r="P766" i="3"/>
  <c r="Q766" i="3" s="1"/>
  <c r="R766" i="3" s="1"/>
  <c r="S766" i="3" s="1"/>
  <c r="AA766" i="3"/>
  <c r="Z766" i="3"/>
  <c r="AC766" i="3"/>
  <c r="U765" i="3" l="1"/>
  <c r="Y764" i="3"/>
  <c r="T766" i="3"/>
  <c r="E766" i="3" l="1"/>
  <c r="H766" i="3" s="1"/>
  <c r="K766" i="3" s="1"/>
  <c r="AE766" i="3" s="1"/>
  <c r="D766" i="3"/>
  <c r="AG766" i="3"/>
  <c r="AH766" i="3"/>
  <c r="V766" i="3" l="1"/>
  <c r="A767" i="3"/>
  <c r="B767" i="3" s="1"/>
  <c r="F766" i="3"/>
  <c r="G766" i="3"/>
  <c r="I766" i="3" l="1"/>
  <c r="W766" i="3" s="1"/>
  <c r="J766" i="3"/>
  <c r="M766" i="3"/>
  <c r="N766" i="3" s="1"/>
  <c r="P767" i="3"/>
  <c r="Q767" i="3" s="1"/>
  <c r="R767" i="3" s="1"/>
  <c r="S767" i="3" s="1"/>
  <c r="AC767" i="3"/>
  <c r="AD767" i="3"/>
  <c r="AA767" i="3"/>
  <c r="Z767" i="3"/>
  <c r="T767" i="3" l="1"/>
  <c r="L766" i="3"/>
  <c r="AH767" i="3" l="1"/>
  <c r="AG767" i="3"/>
  <c r="U766" i="3"/>
  <c r="D767" i="3" s="1"/>
  <c r="Y765" i="3"/>
  <c r="E767" i="3" l="1"/>
  <c r="H767" i="3" s="1"/>
  <c r="K767" i="3" s="1"/>
  <c r="AE767" i="3" s="1"/>
  <c r="G767" i="3"/>
  <c r="F767" i="3" l="1"/>
  <c r="I767" i="3"/>
  <c r="J767" i="3"/>
  <c r="M767" i="3"/>
  <c r="N767" i="3" s="1"/>
  <c r="V767" i="3"/>
  <c r="A768" i="3"/>
  <c r="B768" i="3" s="1"/>
  <c r="W767" i="3" l="1"/>
  <c r="L767" i="3"/>
  <c r="AC768" i="3"/>
  <c r="AA768" i="3"/>
  <c r="AD768" i="3"/>
  <c r="P768" i="3"/>
  <c r="Q768" i="3" s="1"/>
  <c r="R768" i="3" s="1"/>
  <c r="S768" i="3" s="1"/>
  <c r="Z768" i="3"/>
  <c r="T768" i="3" l="1"/>
  <c r="AG768" i="3" s="1"/>
  <c r="U767" i="3"/>
  <c r="Y766" i="3"/>
  <c r="D768" i="3" l="1"/>
  <c r="G768" i="3" s="1"/>
  <c r="AH768" i="3"/>
  <c r="E768" i="3"/>
  <c r="H768" i="3" s="1"/>
  <c r="K768" i="3" l="1"/>
  <c r="AE768" i="3" s="1"/>
  <c r="I768" i="3"/>
  <c r="J768" i="3"/>
  <c r="M768" i="3"/>
  <c r="N768" i="3" s="1"/>
  <c r="F768" i="3"/>
  <c r="L768" i="3" l="1"/>
  <c r="V768" i="3"/>
  <c r="W768" i="3" s="1"/>
  <c r="A769" i="3"/>
  <c r="B769" i="3" s="1"/>
  <c r="AD769" i="3" l="1"/>
  <c r="AC769" i="3"/>
  <c r="Z769" i="3"/>
  <c r="P769" i="3"/>
  <c r="Q769" i="3" s="1"/>
  <c r="R769" i="3" s="1"/>
  <c r="S769" i="3" s="1"/>
  <c r="AA769" i="3"/>
  <c r="U768" i="3"/>
  <c r="Y767" i="3"/>
  <c r="T769" i="3" l="1"/>
  <c r="AG769" i="3" l="1"/>
  <c r="D769" i="3"/>
  <c r="AH769" i="3"/>
  <c r="E769" i="3"/>
  <c r="H769" i="3" s="1"/>
  <c r="F769" i="3" l="1"/>
  <c r="G769" i="3"/>
  <c r="K769" i="3"/>
  <c r="AE769" i="3" s="1"/>
  <c r="V769" i="3" l="1"/>
  <c r="A770" i="3"/>
  <c r="B770" i="3" s="1"/>
  <c r="I769" i="3"/>
  <c r="J769" i="3"/>
  <c r="M769" i="3"/>
  <c r="N769" i="3" s="1"/>
  <c r="W769" i="3" l="1"/>
  <c r="L769" i="3"/>
  <c r="AC770" i="3"/>
  <c r="P770" i="3"/>
  <c r="Q770" i="3" s="1"/>
  <c r="R770" i="3" s="1"/>
  <c r="S770" i="3" s="1"/>
  <c r="AD770" i="3"/>
  <c r="Z770" i="3"/>
  <c r="AA770" i="3"/>
  <c r="U769" i="3" l="1"/>
  <c r="Y768" i="3"/>
  <c r="T770" i="3"/>
  <c r="AG770" i="3" s="1"/>
  <c r="E770" i="3" l="1"/>
  <c r="H770" i="3" s="1"/>
  <c r="K770" i="3" s="1"/>
  <c r="AE770" i="3" s="1"/>
  <c r="D770" i="3"/>
  <c r="AH770" i="3"/>
  <c r="F770" i="3" l="1"/>
  <c r="G770" i="3"/>
  <c r="M770" i="3" s="1"/>
  <c r="N770" i="3" s="1"/>
  <c r="V770" i="3"/>
  <c r="A771" i="3"/>
  <c r="B771" i="3" s="1"/>
  <c r="I770" i="3" l="1"/>
  <c r="W770" i="3" s="1"/>
  <c r="J770" i="3"/>
  <c r="L770" i="3" s="1"/>
  <c r="AA771" i="3"/>
  <c r="AC771" i="3"/>
  <c r="P771" i="3"/>
  <c r="Q771" i="3" s="1"/>
  <c r="R771" i="3" s="1"/>
  <c r="S771" i="3" s="1"/>
  <c r="Z771" i="3"/>
  <c r="AD771" i="3"/>
  <c r="U770" i="3" l="1"/>
  <c r="Y769" i="3"/>
  <c r="T771" i="3"/>
  <c r="AH771" i="3" s="1"/>
  <c r="E771" i="3" l="1"/>
  <c r="H771" i="3" s="1"/>
  <c r="AG771" i="3"/>
  <c r="D771" i="3"/>
  <c r="K771" i="3" l="1"/>
  <c r="AE771" i="3" s="1"/>
  <c r="F771" i="3"/>
  <c r="G771" i="3"/>
  <c r="V771" i="3" l="1"/>
  <c r="A772" i="3"/>
  <c r="B772" i="3" s="1"/>
  <c r="I771" i="3"/>
  <c r="J771" i="3"/>
  <c r="M771" i="3"/>
  <c r="N771" i="3" s="1"/>
  <c r="L771" i="3" l="1"/>
  <c r="W771" i="3"/>
  <c r="AD772" i="3"/>
  <c r="AA772" i="3"/>
  <c r="Z772" i="3"/>
  <c r="AC772" i="3"/>
  <c r="P772" i="3"/>
  <c r="Q772" i="3" s="1"/>
  <c r="R772" i="3" s="1"/>
  <c r="S772" i="3" s="1"/>
  <c r="U771" i="3" l="1"/>
  <c r="Y770" i="3"/>
  <c r="T772" i="3"/>
  <c r="E772" i="3" l="1"/>
  <c r="H772" i="3" s="1"/>
  <c r="K772" i="3" s="1"/>
  <c r="AE772" i="3" s="1"/>
  <c r="D772" i="3"/>
  <c r="G772" i="3" s="1"/>
  <c r="AG772" i="3"/>
  <c r="AH772" i="3"/>
  <c r="F772" i="3" l="1"/>
  <c r="V772" i="3"/>
  <c r="A773" i="3"/>
  <c r="B773" i="3" s="1"/>
  <c r="I772" i="3"/>
  <c r="J772" i="3"/>
  <c r="M772" i="3"/>
  <c r="N772" i="3" s="1"/>
  <c r="W772" i="3" l="1"/>
  <c r="L772" i="3"/>
  <c r="AA773" i="3"/>
  <c r="P773" i="3"/>
  <c r="Q773" i="3" s="1"/>
  <c r="R773" i="3" s="1"/>
  <c r="S773" i="3" s="1"/>
  <c r="Z773" i="3"/>
  <c r="AD773" i="3"/>
  <c r="AC773" i="3"/>
  <c r="U772" i="3" l="1"/>
  <c r="Y771" i="3"/>
  <c r="T773" i="3"/>
  <c r="AG773" i="3" s="1"/>
  <c r="D773" i="3" l="1"/>
  <c r="E773" i="3"/>
  <c r="H773" i="3" s="1"/>
  <c r="K773" i="3" s="1"/>
  <c r="AE773" i="3" s="1"/>
  <c r="AH773" i="3"/>
  <c r="F773" i="3" l="1"/>
  <c r="G773" i="3"/>
  <c r="M773" i="3" s="1"/>
  <c r="N773" i="3" s="1"/>
  <c r="V773" i="3"/>
  <c r="A774" i="3"/>
  <c r="B774" i="3" s="1"/>
  <c r="I773" i="3" l="1"/>
  <c r="W773" i="3" s="1"/>
  <c r="J773" i="3"/>
  <c r="L773" i="3" s="1"/>
  <c r="AC774" i="3"/>
  <c r="P774" i="3"/>
  <c r="Q774" i="3" s="1"/>
  <c r="R774" i="3" s="1"/>
  <c r="S774" i="3" s="1"/>
  <c r="AA774" i="3"/>
  <c r="Z774" i="3"/>
  <c r="U773" i="3" l="1"/>
  <c r="Y772" i="3"/>
  <c r="T774" i="3"/>
  <c r="AG774" i="3" s="1"/>
  <c r="E774" i="3" l="1"/>
  <c r="H774" i="3" s="1"/>
  <c r="K774" i="3" s="1"/>
  <c r="AE774" i="3" s="1"/>
  <c r="AH774" i="3"/>
  <c r="D774" i="3"/>
  <c r="F774" i="3" l="1"/>
  <c r="G774" i="3"/>
  <c r="M774" i="3" s="1"/>
  <c r="N774" i="3" s="1"/>
  <c r="V774" i="3"/>
  <c r="A775" i="3"/>
  <c r="B775" i="3" s="1"/>
  <c r="I774" i="3" l="1"/>
  <c r="W774" i="3" s="1"/>
  <c r="J774" i="3"/>
  <c r="P775" i="3"/>
  <c r="Q775" i="3" s="1"/>
  <c r="R775" i="3" s="1"/>
  <c r="S775" i="3" s="1"/>
  <c r="Z775" i="3"/>
  <c r="AD775" i="3"/>
  <c r="AA775" i="3"/>
  <c r="AC775" i="3"/>
  <c r="L774" i="3" l="1"/>
  <c r="Y773" i="3" s="1"/>
  <c r="AD774" i="3"/>
  <c r="T775" i="3"/>
  <c r="U774" i="3" l="1"/>
  <c r="D775" i="3" s="1"/>
  <c r="AG775" i="3"/>
  <c r="AH775" i="3"/>
  <c r="E775" i="3" l="1"/>
  <c r="H775" i="3" s="1"/>
  <c r="K775" i="3" s="1"/>
  <c r="AE775" i="3" s="1"/>
  <c r="G775" i="3"/>
  <c r="M775" i="3" l="1"/>
  <c r="N775" i="3" s="1"/>
  <c r="A776" i="3"/>
  <c r="B776" i="3" s="1"/>
  <c r="AD776" i="3" s="1"/>
  <c r="V775" i="3"/>
  <c r="F775" i="3"/>
  <c r="I775" i="3"/>
  <c r="J775" i="3"/>
  <c r="L775" i="3" s="1"/>
  <c r="W775" i="3" l="1"/>
  <c r="P776" i="3"/>
  <c r="Q776" i="3" s="1"/>
  <c r="R776" i="3" s="1"/>
  <c r="S776" i="3" s="1"/>
  <c r="T776" i="3" s="1"/>
  <c r="AA776" i="3"/>
  <c r="AC776" i="3"/>
  <c r="Z776" i="3"/>
  <c r="U775" i="3"/>
  <c r="Y774" i="3"/>
  <c r="AG776" i="3" l="1"/>
  <c r="AH776" i="3"/>
  <c r="E776" i="3"/>
  <c r="H776" i="3" s="1"/>
  <c r="K776" i="3" s="1"/>
  <c r="AE776" i="3" s="1"/>
  <c r="D776" i="3"/>
  <c r="G776" i="3" s="1"/>
  <c r="F776" i="3" l="1"/>
  <c r="I776" i="3"/>
  <c r="J776" i="3"/>
  <c r="M776" i="3"/>
  <c r="N776" i="3" s="1"/>
  <c r="V776" i="3"/>
  <c r="A777" i="3"/>
  <c r="B777" i="3" s="1"/>
  <c r="W776" i="3" l="1"/>
  <c r="L776" i="3"/>
  <c r="Z777" i="3"/>
  <c r="AA777" i="3"/>
  <c r="P777" i="3"/>
  <c r="Q777" i="3" s="1"/>
  <c r="R777" i="3" s="1"/>
  <c r="S777" i="3" s="1"/>
  <c r="AD777" i="3"/>
  <c r="AC777" i="3"/>
  <c r="U776" i="3" l="1"/>
  <c r="Y775" i="3"/>
  <c r="T777" i="3"/>
  <c r="AH777" i="3" s="1"/>
  <c r="E777" i="3" l="1"/>
  <c r="H777" i="3" s="1"/>
  <c r="D777" i="3"/>
  <c r="AG777" i="3"/>
  <c r="K777" i="3" l="1"/>
  <c r="AE777" i="3" s="1"/>
  <c r="F777" i="3"/>
  <c r="G777" i="3"/>
  <c r="I777" i="3" l="1"/>
  <c r="J777" i="3"/>
  <c r="M777" i="3"/>
  <c r="N777" i="3" s="1"/>
  <c r="V777" i="3"/>
  <c r="A778" i="3"/>
  <c r="B778" i="3" s="1"/>
  <c r="L777" i="3" l="1"/>
  <c r="W777" i="3"/>
  <c r="P778" i="3"/>
  <c r="Q778" i="3" s="1"/>
  <c r="R778" i="3" s="1"/>
  <c r="S778" i="3" s="1"/>
  <c r="Z778" i="3"/>
  <c r="AD778" i="3"/>
  <c r="AA778" i="3"/>
  <c r="AC778" i="3"/>
  <c r="U777" i="3" l="1"/>
  <c r="Y776" i="3"/>
  <c r="T778" i="3"/>
  <c r="AH778" i="3" s="1"/>
  <c r="E778" i="3" l="1"/>
  <c r="H778" i="3" s="1"/>
  <c r="K778" i="3" s="1"/>
  <c r="AE778" i="3" s="1"/>
  <c r="AG778" i="3"/>
  <c r="D778" i="3"/>
  <c r="G778" i="3" s="1"/>
  <c r="F778" i="3" l="1"/>
  <c r="I778" i="3"/>
  <c r="J778" i="3"/>
  <c r="M778" i="3"/>
  <c r="N778" i="3" s="1"/>
  <c r="V778" i="3"/>
  <c r="A779" i="3"/>
  <c r="B779" i="3" s="1"/>
  <c r="W778" i="3" l="1"/>
  <c r="L778" i="3"/>
  <c r="P779" i="3"/>
  <c r="Q779" i="3" s="1"/>
  <c r="R779" i="3" s="1"/>
  <c r="S779" i="3" s="1"/>
  <c r="AA779" i="3"/>
  <c r="AC779" i="3"/>
  <c r="AD779" i="3"/>
  <c r="Z779" i="3"/>
  <c r="U778" i="3" l="1"/>
  <c r="Y777" i="3"/>
  <c r="T779" i="3"/>
  <c r="E779" i="3" l="1"/>
  <c r="H779" i="3" s="1"/>
  <c r="K779" i="3" s="1"/>
  <c r="AE779" i="3" s="1"/>
  <c r="AG779" i="3"/>
  <c r="AH779" i="3"/>
  <c r="D779" i="3"/>
  <c r="G779" i="3" s="1"/>
  <c r="F779" i="3" l="1"/>
  <c r="I779" i="3"/>
  <c r="J779" i="3"/>
  <c r="M779" i="3"/>
  <c r="N779" i="3" s="1"/>
  <c r="V779" i="3"/>
  <c r="A780" i="3"/>
  <c r="B780" i="3" s="1"/>
  <c r="W779" i="3" l="1"/>
  <c r="L779" i="3"/>
  <c r="P780" i="3"/>
  <c r="Q780" i="3" s="1"/>
  <c r="R780" i="3" s="1"/>
  <c r="S780" i="3" s="1"/>
  <c r="AD780" i="3"/>
  <c r="AA780" i="3"/>
  <c r="Z780" i="3"/>
  <c r="AC780" i="3"/>
  <c r="U779" i="3" l="1"/>
  <c r="Y778" i="3"/>
  <c r="T780" i="3"/>
  <c r="D780" i="3" l="1"/>
  <c r="G780" i="3" s="1"/>
  <c r="AH780" i="3"/>
  <c r="E780" i="3"/>
  <c r="H780" i="3" s="1"/>
  <c r="K780" i="3" s="1"/>
  <c r="AE780" i="3" s="1"/>
  <c r="AG780" i="3"/>
  <c r="F780" i="3" l="1"/>
  <c r="I780" i="3"/>
  <c r="J780" i="3"/>
  <c r="M780" i="3"/>
  <c r="N780" i="3" s="1"/>
  <c r="V780" i="3"/>
  <c r="A781" i="3"/>
  <c r="B781" i="3" s="1"/>
  <c r="W780" i="3" l="1"/>
  <c r="L780" i="3"/>
  <c r="P781" i="3"/>
  <c r="Q781" i="3" s="1"/>
  <c r="R781" i="3" s="1"/>
  <c r="S781" i="3" s="1"/>
  <c r="AD781" i="3"/>
  <c r="Z781" i="3"/>
  <c r="AA781" i="3"/>
  <c r="AC781" i="3"/>
  <c r="T781" i="3" l="1"/>
  <c r="U780" i="3"/>
  <c r="Y779" i="3"/>
  <c r="E781" i="3" l="1"/>
  <c r="H781" i="3" s="1"/>
  <c r="K781" i="3" s="1"/>
  <c r="AE781" i="3" s="1"/>
  <c r="AG781" i="3"/>
  <c r="AH781" i="3"/>
  <c r="D781" i="3"/>
  <c r="F781" i="3" l="1"/>
  <c r="G781" i="3"/>
  <c r="V781" i="3"/>
  <c r="A782" i="3"/>
  <c r="B782" i="3" s="1"/>
  <c r="P782" i="3" l="1"/>
  <c r="Q782" i="3" s="1"/>
  <c r="R782" i="3" s="1"/>
  <c r="S782" i="3" s="1"/>
  <c r="AC782" i="3"/>
  <c r="AD782" i="3"/>
  <c r="AA782" i="3"/>
  <c r="Z782" i="3"/>
  <c r="I781" i="3"/>
  <c r="W781" i="3" s="1"/>
  <c r="J781" i="3"/>
  <c r="M781" i="3"/>
  <c r="N781" i="3" s="1"/>
  <c r="T782" i="3" l="1"/>
  <c r="L781" i="3"/>
  <c r="U781" i="3" l="1"/>
  <c r="D782" i="3" s="1"/>
  <c r="AH782" i="3"/>
  <c r="AG782" i="3"/>
  <c r="Y780" i="3"/>
  <c r="E782" i="3" l="1"/>
  <c r="H782" i="3" s="1"/>
  <c r="K782" i="3" s="1"/>
  <c r="AE782" i="3" s="1"/>
  <c r="G782" i="3"/>
  <c r="F782" i="3" l="1"/>
  <c r="I782" i="3"/>
  <c r="J782" i="3"/>
  <c r="M782" i="3"/>
  <c r="N782" i="3" s="1"/>
  <c r="V782" i="3"/>
  <c r="A783" i="3"/>
  <c r="B783" i="3" s="1"/>
  <c r="W782" i="3" l="1"/>
  <c r="L782" i="3"/>
  <c r="AA783" i="3"/>
  <c r="Z783" i="3"/>
  <c r="P783" i="3"/>
  <c r="Q783" i="3" s="1"/>
  <c r="R783" i="3" s="1"/>
  <c r="S783" i="3" s="1"/>
  <c r="AD783" i="3"/>
  <c r="AC783" i="3"/>
  <c r="U782" i="3" l="1"/>
  <c r="Y781" i="3"/>
  <c r="T783" i="3"/>
  <c r="AH783" i="3" s="1"/>
  <c r="AG783" i="3" l="1"/>
  <c r="D783" i="3"/>
  <c r="G783" i="3" s="1"/>
  <c r="E783" i="3"/>
  <c r="H783" i="3" s="1"/>
  <c r="K783" i="3" s="1"/>
  <c r="AE783" i="3" s="1"/>
  <c r="F783" i="3" l="1"/>
  <c r="I783" i="3"/>
  <c r="J783" i="3"/>
  <c r="M783" i="3"/>
  <c r="N783" i="3" s="1"/>
  <c r="V783" i="3"/>
  <c r="A784" i="3"/>
  <c r="B784" i="3" s="1"/>
  <c r="W783" i="3" l="1"/>
  <c r="L783" i="3"/>
  <c r="AC784" i="3"/>
  <c r="Z784" i="3"/>
  <c r="P784" i="3"/>
  <c r="Q784" i="3" s="1"/>
  <c r="R784" i="3" s="1"/>
  <c r="S784" i="3" s="1"/>
  <c r="AA784" i="3"/>
  <c r="T784" i="3" l="1"/>
  <c r="AG784" i="3" s="1"/>
  <c r="U783" i="3"/>
  <c r="Y782" i="3"/>
  <c r="E784" i="3" l="1"/>
  <c r="H784" i="3" s="1"/>
  <c r="AH784" i="3"/>
  <c r="D784" i="3"/>
  <c r="K784" i="3" l="1"/>
  <c r="AE784" i="3" s="1"/>
  <c r="F784" i="3"/>
  <c r="G784" i="3"/>
  <c r="V784" i="3" l="1"/>
  <c r="A785" i="3"/>
  <c r="B785" i="3" s="1"/>
  <c r="I784" i="3"/>
  <c r="J784" i="3"/>
  <c r="AD784" i="3" s="1"/>
  <c r="M784" i="3"/>
  <c r="N784" i="3" s="1"/>
  <c r="W784" i="3" l="1"/>
  <c r="L784" i="3"/>
  <c r="AA785" i="3"/>
  <c r="AD785" i="3"/>
  <c r="P785" i="3"/>
  <c r="Q785" i="3" s="1"/>
  <c r="R785" i="3" s="1"/>
  <c r="S785" i="3" s="1"/>
  <c r="AC785" i="3"/>
  <c r="Z785" i="3"/>
  <c r="U784" i="3" l="1"/>
  <c r="Y783" i="3"/>
  <c r="T785" i="3"/>
  <c r="AH785" i="3" s="1"/>
  <c r="E785" i="3" l="1"/>
  <c r="H785" i="3" s="1"/>
  <c r="AG785" i="3"/>
  <c r="D785" i="3"/>
  <c r="K785" i="3" l="1"/>
  <c r="AE785" i="3" s="1"/>
  <c r="F785" i="3"/>
  <c r="G785" i="3"/>
  <c r="I785" i="3" l="1"/>
  <c r="J785" i="3"/>
  <c r="M785" i="3"/>
  <c r="N785" i="3" s="1"/>
  <c r="V785" i="3"/>
  <c r="A786" i="3"/>
  <c r="B786" i="3" s="1"/>
  <c r="W785" i="3" l="1"/>
  <c r="L785" i="3"/>
  <c r="Z786" i="3"/>
  <c r="AD786" i="3"/>
  <c r="AA786" i="3"/>
  <c r="P786" i="3"/>
  <c r="Q786" i="3" s="1"/>
  <c r="R786" i="3" s="1"/>
  <c r="S786" i="3" s="1"/>
  <c r="AC786" i="3"/>
  <c r="U785" i="3" l="1"/>
  <c r="Y784" i="3"/>
  <c r="T786" i="3"/>
  <c r="E786" i="3" l="1"/>
  <c r="H786" i="3" s="1"/>
  <c r="K786" i="3" s="1"/>
  <c r="AE786" i="3" s="1"/>
  <c r="AG786" i="3"/>
  <c r="D786" i="3"/>
  <c r="G786" i="3" s="1"/>
  <c r="AH786" i="3"/>
  <c r="F786" i="3" l="1"/>
  <c r="I786" i="3"/>
  <c r="J786" i="3"/>
  <c r="M786" i="3"/>
  <c r="N786" i="3" s="1"/>
  <c r="V786" i="3"/>
  <c r="A787" i="3"/>
  <c r="B787" i="3" s="1"/>
  <c r="L786" i="3" l="1"/>
  <c r="W786" i="3"/>
  <c r="AC787" i="3"/>
  <c r="P787" i="3"/>
  <c r="Q787" i="3" s="1"/>
  <c r="R787" i="3" s="1"/>
  <c r="S787" i="3" s="1"/>
  <c r="Z787" i="3"/>
  <c r="AD787" i="3"/>
  <c r="AA787" i="3"/>
  <c r="U786" i="3" l="1"/>
  <c r="Y785" i="3"/>
  <c r="T787" i="3"/>
  <c r="D787" i="3" l="1"/>
  <c r="G787" i="3" s="1"/>
  <c r="AH787" i="3"/>
  <c r="E787" i="3"/>
  <c r="H787" i="3" s="1"/>
  <c r="AG787" i="3"/>
  <c r="F787" i="3" l="1"/>
  <c r="I787" i="3"/>
  <c r="J787" i="3"/>
  <c r="M787" i="3"/>
  <c r="N787" i="3" s="1"/>
  <c r="K787" i="3"/>
  <c r="AE787" i="3" s="1"/>
  <c r="V787" i="3" l="1"/>
  <c r="W787" i="3" s="1"/>
  <c r="A788" i="3"/>
  <c r="B788" i="3" s="1"/>
  <c r="L787" i="3"/>
  <c r="U787" i="3" l="1"/>
  <c r="Y786" i="3"/>
  <c r="AC788" i="3"/>
  <c r="Z788" i="3"/>
  <c r="AD788" i="3"/>
  <c r="AA788" i="3"/>
  <c r="P788" i="3"/>
  <c r="Q788" i="3" s="1"/>
  <c r="R788" i="3" s="1"/>
  <c r="S788" i="3" s="1"/>
  <c r="T788" i="3" l="1"/>
  <c r="E788" i="3" s="1"/>
  <c r="H788" i="3" s="1"/>
  <c r="D788" i="3" l="1"/>
  <c r="F788" i="3" s="1"/>
  <c r="AG788" i="3"/>
  <c r="AH788" i="3"/>
  <c r="K788" i="3"/>
  <c r="AE788" i="3" s="1"/>
  <c r="G788" i="3" l="1"/>
  <c r="I788" i="3" s="1"/>
  <c r="V788" i="3"/>
  <c r="A789" i="3"/>
  <c r="B789" i="3" s="1"/>
  <c r="M788" i="3" l="1"/>
  <c r="N788" i="3" s="1"/>
  <c r="J788" i="3"/>
  <c r="L788" i="3" s="1"/>
  <c r="W788" i="3"/>
  <c r="P789" i="3"/>
  <c r="Q789" i="3" s="1"/>
  <c r="R789" i="3" s="1"/>
  <c r="S789" i="3" s="1"/>
  <c r="AC789" i="3"/>
  <c r="AD789" i="3"/>
  <c r="AA789" i="3"/>
  <c r="Z789" i="3"/>
  <c r="U788" i="3" l="1"/>
  <c r="Y787" i="3"/>
  <c r="T789" i="3"/>
  <c r="D789" i="3" l="1"/>
  <c r="G789" i="3" s="1"/>
  <c r="E789" i="3"/>
  <c r="H789" i="3" s="1"/>
  <c r="AH789" i="3"/>
  <c r="AG789" i="3"/>
  <c r="F789" i="3" l="1"/>
  <c r="I789" i="3"/>
  <c r="J789" i="3"/>
  <c r="M789" i="3"/>
  <c r="N789" i="3" s="1"/>
  <c r="K789" i="3"/>
  <c r="AE789" i="3" s="1"/>
  <c r="L789" i="3" l="1"/>
  <c r="V789" i="3"/>
  <c r="W789" i="3" s="1"/>
  <c r="A790" i="3"/>
  <c r="B790" i="3" s="1"/>
  <c r="AA790" i="3" l="1"/>
  <c r="AC790" i="3"/>
  <c r="Z790" i="3"/>
  <c r="AD790" i="3"/>
  <c r="P790" i="3"/>
  <c r="Q790" i="3" s="1"/>
  <c r="R790" i="3" s="1"/>
  <c r="S790" i="3" s="1"/>
  <c r="U789" i="3"/>
  <c r="Y788" i="3"/>
  <c r="T790" i="3" l="1"/>
  <c r="D790" i="3" s="1"/>
  <c r="AG790" i="3" l="1"/>
  <c r="G790" i="3"/>
  <c r="AH790" i="3"/>
  <c r="E790" i="3"/>
  <c r="H790" i="3" s="1"/>
  <c r="F790" i="3" l="1"/>
  <c r="I790" i="3"/>
  <c r="J790" i="3"/>
  <c r="M790" i="3"/>
  <c r="N790" i="3" s="1"/>
  <c r="K790" i="3"/>
  <c r="AE790" i="3" s="1"/>
  <c r="V790" i="3" l="1"/>
  <c r="W790" i="3" s="1"/>
  <c r="A791" i="3"/>
  <c r="B791" i="3" s="1"/>
  <c r="L790" i="3"/>
  <c r="U790" i="3" l="1"/>
  <c r="Y789" i="3"/>
  <c r="AD791" i="3"/>
  <c r="P791" i="3"/>
  <c r="Q791" i="3" s="1"/>
  <c r="R791" i="3" s="1"/>
  <c r="S791" i="3" s="1"/>
  <c r="AA791" i="3"/>
  <c r="AC791" i="3"/>
  <c r="Z791" i="3"/>
  <c r="T791" i="3" l="1"/>
  <c r="AG791" i="3" s="1"/>
  <c r="E791" i="3" l="1"/>
  <c r="H791" i="3" s="1"/>
  <c r="K791" i="3" s="1"/>
  <c r="AE791" i="3" s="1"/>
  <c r="D791" i="3"/>
  <c r="G791" i="3" s="1"/>
  <c r="AH791" i="3"/>
  <c r="F791" i="3" l="1"/>
  <c r="I791" i="3"/>
  <c r="J791" i="3"/>
  <c r="M791" i="3"/>
  <c r="N791" i="3" s="1"/>
  <c r="V791" i="3"/>
  <c r="A792" i="3"/>
  <c r="B792" i="3" s="1"/>
  <c r="W791" i="3" l="1"/>
  <c r="L791" i="3"/>
  <c r="P792" i="3"/>
  <c r="Q792" i="3" s="1"/>
  <c r="R792" i="3" s="1"/>
  <c r="S792" i="3" s="1"/>
  <c r="AC792" i="3"/>
  <c r="AD792" i="3"/>
  <c r="Z792" i="3"/>
  <c r="AA792" i="3"/>
  <c r="U791" i="3" l="1"/>
  <c r="Y790" i="3"/>
  <c r="T792" i="3"/>
  <c r="AG792" i="3" s="1"/>
  <c r="AH792" i="3" l="1"/>
  <c r="D792" i="3"/>
  <c r="E792" i="3"/>
  <c r="H792" i="3" s="1"/>
  <c r="F792" i="3" l="1"/>
  <c r="G792" i="3"/>
  <c r="K792" i="3"/>
  <c r="AE792" i="3" s="1"/>
  <c r="I792" i="3" l="1"/>
  <c r="J792" i="3"/>
  <c r="M792" i="3"/>
  <c r="N792" i="3" s="1"/>
  <c r="V792" i="3"/>
  <c r="A793" i="3"/>
  <c r="B793" i="3" s="1"/>
  <c r="L792" i="3" l="1"/>
  <c r="W792" i="3"/>
  <c r="AD793" i="3"/>
  <c r="AC793" i="3"/>
  <c r="Z793" i="3"/>
  <c r="P793" i="3"/>
  <c r="Q793" i="3" s="1"/>
  <c r="R793" i="3" s="1"/>
  <c r="S793" i="3" s="1"/>
  <c r="AA793" i="3"/>
  <c r="T793" i="3" l="1"/>
  <c r="U792" i="3"/>
  <c r="Y791" i="3"/>
  <c r="E793" i="3" l="1"/>
  <c r="H793" i="3" s="1"/>
  <c r="K793" i="3" s="1"/>
  <c r="AE793" i="3" s="1"/>
  <c r="D793" i="3"/>
  <c r="AG793" i="3"/>
  <c r="AH793" i="3"/>
  <c r="F793" i="3" l="1"/>
  <c r="G793" i="3"/>
  <c r="M793" i="3" s="1"/>
  <c r="N793" i="3" s="1"/>
  <c r="V793" i="3"/>
  <c r="A794" i="3"/>
  <c r="B794" i="3" s="1"/>
  <c r="I793" i="3" l="1"/>
  <c r="W793" i="3" s="1"/>
  <c r="J793" i="3"/>
  <c r="L793" i="3" s="1"/>
  <c r="Z794" i="3"/>
  <c r="AC794" i="3"/>
  <c r="P794" i="3"/>
  <c r="Q794" i="3" s="1"/>
  <c r="R794" i="3" s="1"/>
  <c r="S794" i="3" s="1"/>
  <c r="AA794" i="3"/>
  <c r="T794" i="3" l="1"/>
  <c r="AH794" i="3" s="1"/>
  <c r="U793" i="3"/>
  <c r="Y792" i="3"/>
  <c r="AG794" i="3" l="1"/>
  <c r="D794" i="3"/>
  <c r="E794" i="3"/>
  <c r="H794" i="3" s="1"/>
  <c r="F794" i="3" l="1"/>
  <c r="G794" i="3"/>
  <c r="K794" i="3"/>
  <c r="AE794" i="3" s="1"/>
  <c r="I794" i="3" l="1"/>
  <c r="J794" i="3"/>
  <c r="AD794" i="3" s="1"/>
  <c r="M794" i="3"/>
  <c r="N794" i="3" s="1"/>
  <c r="V794" i="3"/>
  <c r="A795" i="3"/>
  <c r="B795" i="3" s="1"/>
  <c r="L794" i="3" l="1"/>
  <c r="W794" i="3"/>
  <c r="P795" i="3"/>
  <c r="Q795" i="3" s="1"/>
  <c r="R795" i="3" s="1"/>
  <c r="S795" i="3" s="1"/>
  <c r="Z795" i="3"/>
  <c r="AA795" i="3"/>
  <c r="AC795" i="3"/>
  <c r="T795" i="3" l="1"/>
  <c r="U794" i="3"/>
  <c r="Y793" i="3"/>
  <c r="D795" i="3" l="1"/>
  <c r="G795" i="3" s="1"/>
  <c r="E795" i="3"/>
  <c r="H795" i="3" s="1"/>
  <c r="K795" i="3" s="1"/>
  <c r="AE795" i="3" s="1"/>
  <c r="AH795" i="3"/>
  <c r="AG795" i="3"/>
  <c r="F795" i="3" l="1"/>
  <c r="I795" i="3"/>
  <c r="J795" i="3"/>
  <c r="AD795" i="3" s="1"/>
  <c r="M795" i="3"/>
  <c r="N795" i="3" s="1"/>
  <c r="V795" i="3"/>
  <c r="A796" i="3"/>
  <c r="B796" i="3" s="1"/>
  <c r="W795" i="3" l="1"/>
  <c r="L795" i="3"/>
  <c r="Z796" i="3"/>
  <c r="AA796" i="3"/>
  <c r="AC796" i="3"/>
  <c r="P796" i="3"/>
  <c r="Q796" i="3" s="1"/>
  <c r="R796" i="3" s="1"/>
  <c r="S796" i="3" s="1"/>
  <c r="T796" i="3" l="1"/>
  <c r="U795" i="3"/>
  <c r="Y794" i="3"/>
  <c r="E796" i="3" l="1"/>
  <c r="H796" i="3" s="1"/>
  <c r="K796" i="3" s="1"/>
  <c r="AE796" i="3" s="1"/>
  <c r="AH796" i="3"/>
  <c r="AG796" i="3"/>
  <c r="D796" i="3"/>
  <c r="F796" i="3" l="1"/>
  <c r="G796" i="3"/>
  <c r="V796" i="3"/>
  <c r="A797" i="3"/>
  <c r="B797" i="3" s="1"/>
  <c r="I796" i="3" l="1"/>
  <c r="W796" i="3" s="1"/>
  <c r="J796" i="3"/>
  <c r="AD796" i="3" s="1"/>
  <c r="M796" i="3"/>
  <c r="N796" i="3" s="1"/>
  <c r="P797" i="3"/>
  <c r="Q797" i="3" s="1"/>
  <c r="R797" i="3" s="1"/>
  <c r="S797" i="3" s="1"/>
  <c r="AA797" i="3"/>
  <c r="AC797" i="3"/>
  <c r="Z797" i="3"/>
  <c r="T797" i="3" l="1"/>
  <c r="L796" i="3"/>
  <c r="AH797" i="3" l="1"/>
  <c r="AG797" i="3"/>
  <c r="U796" i="3"/>
  <c r="E797" i="3" s="1"/>
  <c r="H797" i="3" s="1"/>
  <c r="Y795" i="3"/>
  <c r="D797" i="3" l="1"/>
  <c r="G797" i="3" s="1"/>
  <c r="K797" i="3"/>
  <c r="AE797" i="3" s="1"/>
  <c r="F797" i="3" l="1"/>
  <c r="I797" i="3"/>
  <c r="J797" i="3"/>
  <c r="AD797" i="3" s="1"/>
  <c r="M797" i="3"/>
  <c r="N797" i="3" s="1"/>
  <c r="V797" i="3"/>
  <c r="A798" i="3"/>
  <c r="B798" i="3" s="1"/>
  <c r="W797" i="3" l="1"/>
  <c r="L797" i="3"/>
  <c r="Z798" i="3"/>
  <c r="AA798" i="3"/>
  <c r="P798" i="3"/>
  <c r="Q798" i="3" s="1"/>
  <c r="R798" i="3" s="1"/>
  <c r="S798" i="3" s="1"/>
  <c r="AC798" i="3"/>
  <c r="T798" i="3" l="1"/>
  <c r="U797" i="3"/>
  <c r="Y796" i="3"/>
  <c r="E798" i="3" l="1"/>
  <c r="H798" i="3" s="1"/>
  <c r="K798" i="3" s="1"/>
  <c r="AE798" i="3" s="1"/>
  <c r="D798" i="3"/>
  <c r="G798" i="3" s="1"/>
  <c r="AH798" i="3"/>
  <c r="AG798" i="3"/>
  <c r="F798" i="3" l="1"/>
  <c r="I798" i="3"/>
  <c r="J798" i="3"/>
  <c r="AD798" i="3" s="1"/>
  <c r="M798" i="3"/>
  <c r="N798" i="3" s="1"/>
  <c r="V798" i="3"/>
  <c r="A799" i="3"/>
  <c r="B799" i="3" s="1"/>
  <c r="W798" i="3" l="1"/>
  <c r="L798" i="3"/>
  <c r="Z799" i="3"/>
  <c r="P799" i="3"/>
  <c r="Q799" i="3" s="1"/>
  <c r="R799" i="3" s="1"/>
  <c r="S799" i="3" s="1"/>
  <c r="AC799" i="3"/>
  <c r="AA799" i="3"/>
  <c r="T799" i="3" l="1"/>
  <c r="AH799" i="3" s="1"/>
  <c r="U798" i="3"/>
  <c r="Y797" i="3"/>
  <c r="AG799" i="3" l="1"/>
  <c r="E799" i="3"/>
  <c r="H799" i="3" s="1"/>
  <c r="D799" i="3"/>
  <c r="K799" i="3" l="1"/>
  <c r="AE799" i="3" s="1"/>
  <c r="F799" i="3"/>
  <c r="G799" i="3"/>
  <c r="V799" i="3" l="1"/>
  <c r="A800" i="3"/>
  <c r="B800" i="3" s="1"/>
  <c r="I799" i="3"/>
  <c r="J799" i="3"/>
  <c r="AD799" i="3" s="1"/>
  <c r="M799" i="3"/>
  <c r="N799" i="3" s="1"/>
  <c r="W799" i="3" l="1"/>
  <c r="L799" i="3"/>
  <c r="AC800" i="3"/>
  <c r="AA800" i="3"/>
  <c r="P800" i="3"/>
  <c r="Q800" i="3" s="1"/>
  <c r="R800" i="3" s="1"/>
  <c r="S800" i="3" s="1"/>
  <c r="Z800" i="3"/>
  <c r="U799" i="3" l="1"/>
  <c r="Y798" i="3"/>
  <c r="T800" i="3"/>
  <c r="E800" i="3" l="1"/>
  <c r="H800" i="3" s="1"/>
  <c r="K800" i="3" s="1"/>
  <c r="AE800" i="3" s="1"/>
  <c r="D800" i="3"/>
  <c r="AG800" i="3"/>
  <c r="AH800" i="3"/>
  <c r="V800" i="3" l="1"/>
  <c r="A801" i="3"/>
  <c r="B801" i="3" s="1"/>
  <c r="F800" i="3"/>
  <c r="G800" i="3"/>
  <c r="I800" i="3" l="1"/>
  <c r="W800" i="3" s="1"/>
  <c r="J800" i="3"/>
  <c r="AD800" i="3" s="1"/>
  <c r="M800" i="3"/>
  <c r="N800" i="3" s="1"/>
  <c r="AA801" i="3"/>
  <c r="Z801" i="3"/>
  <c r="P801" i="3"/>
  <c r="Q801" i="3" s="1"/>
  <c r="R801" i="3" s="1"/>
  <c r="S801" i="3" s="1"/>
  <c r="AC801" i="3"/>
  <c r="L800" i="3" l="1"/>
  <c r="T801" i="3"/>
  <c r="AG801" i="3" l="1"/>
  <c r="AH801" i="3"/>
  <c r="U800" i="3"/>
  <c r="E801" i="3" s="1"/>
  <c r="H801" i="3" s="1"/>
  <c r="Y799" i="3"/>
  <c r="D801" i="3" l="1"/>
  <c r="G801" i="3" s="1"/>
  <c r="K801" i="3"/>
  <c r="AE801" i="3" s="1"/>
  <c r="F801" i="3" l="1"/>
  <c r="I801" i="3"/>
  <c r="J801" i="3"/>
  <c r="AD801" i="3" s="1"/>
  <c r="M801" i="3"/>
  <c r="N801" i="3" s="1"/>
  <c r="V801" i="3"/>
  <c r="A802" i="3"/>
  <c r="B802" i="3" s="1"/>
  <c r="W801" i="3" l="1"/>
  <c r="L801" i="3"/>
  <c r="Z802" i="3"/>
  <c r="P802" i="3"/>
  <c r="Q802" i="3" s="1"/>
  <c r="R802" i="3" s="1"/>
  <c r="S802" i="3" s="1"/>
  <c r="AA802" i="3"/>
  <c r="AC802" i="3"/>
  <c r="U801" i="3" l="1"/>
  <c r="Y800" i="3"/>
  <c r="T802" i="3"/>
  <c r="AG802" i="3" s="1"/>
  <c r="E802" i="3" l="1"/>
  <c r="H802" i="3" s="1"/>
  <c r="D802" i="3"/>
  <c r="AH802" i="3"/>
  <c r="K802" i="3" l="1"/>
  <c r="AE802" i="3" s="1"/>
  <c r="F802" i="3"/>
  <c r="G802" i="3"/>
  <c r="I802" i="3" l="1"/>
  <c r="J802" i="3"/>
  <c r="AD802" i="3" s="1"/>
  <c r="M802" i="3"/>
  <c r="N802" i="3" s="1"/>
  <c r="V802" i="3"/>
  <c r="A803" i="3"/>
  <c r="B803" i="3" s="1"/>
  <c r="L802" i="3" l="1"/>
  <c r="W802" i="3"/>
  <c r="Z803" i="3"/>
  <c r="AA803" i="3"/>
  <c r="AC803" i="3"/>
  <c r="P803" i="3"/>
  <c r="Q803" i="3" s="1"/>
  <c r="R803" i="3" s="1"/>
  <c r="S803" i="3" s="1"/>
  <c r="U802" i="3" l="1"/>
  <c r="Y801" i="3"/>
  <c r="T803" i="3"/>
  <c r="AG803" i="3" s="1"/>
  <c r="AH803" i="3" l="1"/>
  <c r="D803" i="3"/>
  <c r="E803" i="3"/>
  <c r="H803" i="3" s="1"/>
  <c r="F803" i="3" l="1"/>
  <c r="G803" i="3"/>
  <c r="K803" i="3"/>
  <c r="AE803" i="3" s="1"/>
  <c r="V803" i="3" l="1"/>
  <c r="A804" i="3"/>
  <c r="B804" i="3" s="1"/>
  <c r="I803" i="3"/>
  <c r="J803" i="3"/>
  <c r="AD803" i="3" s="1"/>
  <c r="M803" i="3"/>
  <c r="N803" i="3" s="1"/>
  <c r="L803" i="3" l="1"/>
  <c r="W803" i="3"/>
  <c r="AC804" i="3"/>
  <c r="P804" i="3"/>
  <c r="Q804" i="3" s="1"/>
  <c r="R804" i="3" s="1"/>
  <c r="S804" i="3" s="1"/>
  <c r="AA804" i="3"/>
  <c r="Z804" i="3"/>
  <c r="U803" i="3" l="1"/>
  <c r="Y802" i="3"/>
  <c r="T804" i="3"/>
  <c r="AH804" i="3" s="1"/>
  <c r="D804" i="3" l="1"/>
  <c r="G804" i="3" s="1"/>
  <c r="AG804" i="3"/>
  <c r="E804" i="3"/>
  <c r="H804" i="3" s="1"/>
  <c r="K804" i="3" s="1"/>
  <c r="AE804" i="3" s="1"/>
  <c r="F804" i="3" l="1"/>
  <c r="I804" i="3"/>
  <c r="J804" i="3"/>
  <c r="AD804" i="3" s="1"/>
  <c r="M804" i="3"/>
  <c r="N804" i="3" s="1"/>
  <c r="V804" i="3"/>
  <c r="A805" i="3"/>
  <c r="B805" i="3" s="1"/>
  <c r="W804" i="3" l="1"/>
  <c r="L804" i="3"/>
  <c r="Z805" i="3"/>
  <c r="P805" i="3"/>
  <c r="Q805" i="3" s="1"/>
  <c r="R805" i="3" s="1"/>
  <c r="S805" i="3" s="1"/>
  <c r="AC805" i="3"/>
  <c r="AA805" i="3"/>
  <c r="T805" i="3" l="1"/>
  <c r="AH805" i="3" s="1"/>
  <c r="U804" i="3"/>
  <c r="Y803" i="3"/>
  <c r="E805" i="3" l="1"/>
  <c r="H805" i="3" s="1"/>
  <c r="AG805" i="3"/>
  <c r="D805" i="3"/>
  <c r="K805" i="3" l="1"/>
  <c r="AE805" i="3" s="1"/>
  <c r="F805" i="3"/>
  <c r="G805" i="3"/>
  <c r="I805" i="3" l="1"/>
  <c r="J805" i="3"/>
  <c r="AD805" i="3" s="1"/>
  <c r="M805" i="3"/>
  <c r="N805" i="3" s="1"/>
  <c r="V805" i="3"/>
  <c r="A806" i="3"/>
  <c r="B806" i="3" s="1"/>
  <c r="W805" i="3" l="1"/>
  <c r="L805" i="3"/>
  <c r="Z806" i="3"/>
  <c r="AA806" i="3"/>
  <c r="P806" i="3"/>
  <c r="Q806" i="3" s="1"/>
  <c r="R806" i="3" s="1"/>
  <c r="S806" i="3" s="1"/>
  <c r="AC806" i="3"/>
  <c r="T806" i="3" l="1"/>
  <c r="U805" i="3"/>
  <c r="Y804" i="3"/>
  <c r="D806" i="3" l="1"/>
  <c r="G806" i="3" s="1"/>
  <c r="AH806" i="3"/>
  <c r="AG806" i="3"/>
  <c r="E806" i="3"/>
  <c r="H806" i="3" s="1"/>
  <c r="K806" i="3" l="1"/>
  <c r="AE806" i="3" s="1"/>
  <c r="I806" i="3"/>
  <c r="J806" i="3"/>
  <c r="AD806" i="3" s="1"/>
  <c r="M806" i="3"/>
  <c r="N806" i="3" s="1"/>
  <c r="F806" i="3"/>
  <c r="L806" i="3" l="1"/>
  <c r="V806" i="3"/>
  <c r="W806" i="3" s="1"/>
  <c r="A807" i="3"/>
  <c r="B807" i="3" s="1"/>
  <c r="AC807" i="3" l="1"/>
  <c r="P807" i="3"/>
  <c r="Q807" i="3" s="1"/>
  <c r="R807" i="3" s="1"/>
  <c r="S807" i="3" s="1"/>
  <c r="AA807" i="3"/>
  <c r="Z807" i="3"/>
  <c r="U806" i="3"/>
  <c r="Y805" i="3"/>
  <c r="T807" i="3" l="1"/>
  <c r="AH807" i="3" l="1"/>
  <c r="AG807" i="3"/>
  <c r="E807" i="3"/>
  <c r="H807" i="3" s="1"/>
  <c r="D807" i="3"/>
  <c r="K807" i="3" l="1"/>
  <c r="AE807" i="3" s="1"/>
  <c r="F807" i="3"/>
  <c r="G807" i="3"/>
  <c r="I807" i="3" l="1"/>
  <c r="J807" i="3"/>
  <c r="AD807" i="3" s="1"/>
  <c r="M807" i="3"/>
  <c r="N807" i="3" s="1"/>
  <c r="V807" i="3"/>
  <c r="A808" i="3"/>
  <c r="B808" i="3" s="1"/>
  <c r="W807" i="3" l="1"/>
  <c r="L807" i="3"/>
  <c r="P808" i="3"/>
  <c r="Q808" i="3" s="1"/>
  <c r="R808" i="3" s="1"/>
  <c r="S808" i="3" s="1"/>
  <c r="AA808" i="3"/>
  <c r="Z808" i="3"/>
  <c r="AC808" i="3"/>
  <c r="U807" i="3" l="1"/>
  <c r="Y806" i="3"/>
  <c r="T808" i="3"/>
  <c r="AH808" i="3" s="1"/>
  <c r="D808" i="3" l="1"/>
  <c r="G808" i="3" s="1"/>
  <c r="E808" i="3"/>
  <c r="H808" i="3" s="1"/>
  <c r="K808" i="3" s="1"/>
  <c r="AE808" i="3" s="1"/>
  <c r="AG808" i="3"/>
  <c r="F808" i="3" l="1"/>
  <c r="I808" i="3"/>
  <c r="J808" i="3"/>
  <c r="AD808" i="3" s="1"/>
  <c r="M808" i="3"/>
  <c r="N808" i="3" s="1"/>
  <c r="V808" i="3"/>
  <c r="A809" i="3"/>
  <c r="B809" i="3" s="1"/>
  <c r="W808" i="3" l="1"/>
  <c r="AC809" i="3"/>
  <c r="Z809" i="3"/>
  <c r="AA809" i="3"/>
  <c r="P809" i="3"/>
  <c r="Q809" i="3" s="1"/>
  <c r="R809" i="3" s="1"/>
  <c r="S809" i="3" s="1"/>
  <c r="L808" i="3"/>
  <c r="T809" i="3" l="1"/>
  <c r="U808" i="3"/>
  <c r="Y807" i="3"/>
  <c r="E809" i="3" l="1"/>
  <c r="H809" i="3" s="1"/>
  <c r="K809" i="3" s="1"/>
  <c r="AE809" i="3" s="1"/>
  <c r="AG809" i="3"/>
  <c r="D809" i="3"/>
  <c r="AH809" i="3"/>
  <c r="V809" i="3" l="1"/>
  <c r="A810" i="3"/>
  <c r="B810" i="3" s="1"/>
  <c r="F809" i="3"/>
  <c r="G809" i="3"/>
  <c r="I809" i="3" l="1"/>
  <c r="W809" i="3" s="1"/>
  <c r="J809" i="3"/>
  <c r="AD809" i="3" s="1"/>
  <c r="M809" i="3"/>
  <c r="N809" i="3" s="1"/>
  <c r="P810" i="3"/>
  <c r="Q810" i="3" s="1"/>
  <c r="R810" i="3" s="1"/>
  <c r="S810" i="3" s="1"/>
  <c r="AA810" i="3"/>
  <c r="AC810" i="3"/>
  <c r="Z810" i="3"/>
  <c r="T810" i="3" l="1"/>
  <c r="L809" i="3"/>
  <c r="AH810" i="3" l="1"/>
  <c r="AG810" i="3"/>
  <c r="U809" i="3"/>
  <c r="E810" i="3" s="1"/>
  <c r="H810" i="3" s="1"/>
  <c r="Y808" i="3"/>
  <c r="D810" i="3" l="1"/>
  <c r="G810" i="3" s="1"/>
  <c r="K810" i="3"/>
  <c r="AE810" i="3" s="1"/>
  <c r="F810" i="3" l="1"/>
  <c r="I810" i="3"/>
  <c r="J810" i="3"/>
  <c r="AD810" i="3" s="1"/>
  <c r="M810" i="3"/>
  <c r="N810" i="3" s="1"/>
  <c r="V810" i="3"/>
  <c r="A811" i="3"/>
  <c r="B811" i="3" s="1"/>
  <c r="L810" i="3" l="1"/>
  <c r="W810" i="3"/>
  <c r="AA811" i="3"/>
  <c r="P811" i="3"/>
  <c r="Q811" i="3" s="1"/>
  <c r="R811" i="3" s="1"/>
  <c r="S811" i="3" s="1"/>
  <c r="Z811" i="3"/>
  <c r="AC811" i="3"/>
  <c r="U810" i="3" l="1"/>
  <c r="Y809" i="3"/>
  <c r="T811" i="3"/>
  <c r="E811" i="3" l="1"/>
  <c r="H811" i="3" s="1"/>
  <c r="K811" i="3" s="1"/>
  <c r="AE811" i="3" s="1"/>
  <c r="AH811" i="3"/>
  <c r="AG811" i="3"/>
  <c r="D811" i="3"/>
  <c r="V811" i="3" l="1"/>
  <c r="A812" i="3"/>
  <c r="B812" i="3" s="1"/>
  <c r="F811" i="3"/>
  <c r="G811" i="3"/>
  <c r="I811" i="3" l="1"/>
  <c r="W811" i="3" s="1"/>
  <c r="J811" i="3"/>
  <c r="AD811" i="3" s="1"/>
  <c r="M811" i="3"/>
  <c r="N811" i="3" s="1"/>
  <c r="Z812" i="3"/>
  <c r="AA812" i="3"/>
  <c r="P812" i="3"/>
  <c r="Q812" i="3" s="1"/>
  <c r="R812" i="3" s="1"/>
  <c r="S812" i="3" s="1"/>
  <c r="AC812" i="3"/>
  <c r="T812" i="3" l="1"/>
  <c r="L811" i="3"/>
  <c r="AG812" i="3" l="1"/>
  <c r="U811" i="3"/>
  <c r="D812" i="3" s="1"/>
  <c r="AH812" i="3"/>
  <c r="Y810" i="3"/>
  <c r="G812" i="3" l="1"/>
  <c r="E812" i="3"/>
  <c r="H812" i="3" s="1"/>
  <c r="I812" i="3" l="1"/>
  <c r="J812" i="3"/>
  <c r="AD812" i="3" s="1"/>
  <c r="M812" i="3"/>
  <c r="N812" i="3" s="1"/>
  <c r="F812" i="3"/>
  <c r="K812" i="3"/>
  <c r="AE812" i="3" s="1"/>
  <c r="L812" i="3" l="1"/>
  <c r="V812" i="3"/>
  <c r="W812" i="3" s="1"/>
  <c r="A813" i="3"/>
  <c r="B813" i="3" s="1"/>
  <c r="U812" i="3" l="1"/>
  <c r="Y811" i="3"/>
  <c r="AA813" i="3"/>
  <c r="P813" i="3"/>
  <c r="Q813" i="3" s="1"/>
  <c r="R813" i="3" s="1"/>
  <c r="S813" i="3" s="1"/>
  <c r="Z813" i="3"/>
  <c r="AC813" i="3"/>
  <c r="T813" i="3" l="1"/>
  <c r="AG813" i="3" s="1"/>
  <c r="AH813" i="3" l="1"/>
  <c r="D813" i="3"/>
  <c r="E813" i="3"/>
  <c r="H813" i="3" s="1"/>
  <c r="F813" i="3" l="1"/>
  <c r="G813" i="3"/>
  <c r="K813" i="3"/>
  <c r="AE813" i="3" s="1"/>
  <c r="I813" i="3" l="1"/>
  <c r="J813" i="3"/>
  <c r="AD813" i="3" s="1"/>
  <c r="M813" i="3"/>
  <c r="N813" i="3" s="1"/>
  <c r="V813" i="3"/>
  <c r="A814" i="3"/>
  <c r="B814" i="3" s="1"/>
  <c r="W813" i="3" l="1"/>
  <c r="L813" i="3"/>
  <c r="P814" i="3"/>
  <c r="Q814" i="3" s="1"/>
  <c r="R814" i="3" s="1"/>
  <c r="S814" i="3" s="1"/>
  <c r="AA814" i="3"/>
  <c r="Z814" i="3"/>
  <c r="AC814" i="3"/>
  <c r="U813" i="3" l="1"/>
  <c r="Y812" i="3"/>
  <c r="T814" i="3"/>
  <c r="D814" i="3" l="1"/>
  <c r="G814" i="3" s="1"/>
  <c r="E814" i="3"/>
  <c r="H814" i="3" s="1"/>
  <c r="K814" i="3" s="1"/>
  <c r="AE814" i="3" s="1"/>
  <c r="AH814" i="3"/>
  <c r="AG814" i="3"/>
  <c r="F814" i="3" l="1"/>
  <c r="I814" i="3"/>
  <c r="J814" i="3"/>
  <c r="AD814" i="3" s="1"/>
  <c r="M814" i="3"/>
  <c r="N814" i="3" s="1"/>
  <c r="V814" i="3"/>
  <c r="A815" i="3"/>
  <c r="B815" i="3" s="1"/>
  <c r="W814" i="3" l="1"/>
  <c r="L814" i="3"/>
  <c r="AA815" i="3"/>
  <c r="AC815" i="3"/>
  <c r="Z815" i="3"/>
  <c r="P815" i="3"/>
  <c r="Q815" i="3" s="1"/>
  <c r="R815" i="3" s="1"/>
  <c r="S815" i="3" s="1"/>
  <c r="T815" i="3" l="1"/>
  <c r="AH815" i="3" s="1"/>
  <c r="U814" i="3"/>
  <c r="Y813" i="3"/>
  <c r="AG815" i="3" l="1"/>
  <c r="E815" i="3"/>
  <c r="H815" i="3" s="1"/>
  <c r="D815" i="3"/>
  <c r="K815" i="3" l="1"/>
  <c r="AE815" i="3" s="1"/>
  <c r="F815" i="3"/>
  <c r="G815" i="3"/>
  <c r="V815" i="3" l="1"/>
  <c r="A816" i="3"/>
  <c r="B816" i="3" s="1"/>
  <c r="I815" i="3"/>
  <c r="J815" i="3"/>
  <c r="AD815" i="3" s="1"/>
  <c r="M815" i="3"/>
  <c r="N815" i="3" s="1"/>
  <c r="W815" i="3" l="1"/>
  <c r="L815" i="3"/>
  <c r="P816" i="3"/>
  <c r="Q816" i="3" s="1"/>
  <c r="R816" i="3" s="1"/>
  <c r="S816" i="3" s="1"/>
  <c r="AC816" i="3"/>
  <c r="AA816" i="3"/>
  <c r="Z816" i="3"/>
  <c r="T816" i="3" l="1"/>
  <c r="U815" i="3"/>
  <c r="Y814" i="3"/>
  <c r="E816" i="3" l="1"/>
  <c r="H816" i="3" s="1"/>
  <c r="K816" i="3" s="1"/>
  <c r="AE816" i="3" s="1"/>
  <c r="D816" i="3"/>
  <c r="G816" i="3" s="1"/>
  <c r="AG816" i="3"/>
  <c r="AH816" i="3"/>
  <c r="F816" i="3" l="1"/>
  <c r="I816" i="3"/>
  <c r="J816" i="3"/>
  <c r="AD816" i="3" s="1"/>
  <c r="M816" i="3"/>
  <c r="N816" i="3" s="1"/>
  <c r="V816" i="3"/>
  <c r="A817" i="3"/>
  <c r="B817" i="3" s="1"/>
  <c r="W816" i="3" l="1"/>
  <c r="L816" i="3"/>
  <c r="P817" i="3"/>
  <c r="Q817" i="3" s="1"/>
  <c r="R817" i="3" s="1"/>
  <c r="S817" i="3" s="1"/>
  <c r="Z817" i="3"/>
  <c r="AA817" i="3"/>
  <c r="AC817" i="3"/>
  <c r="U816" i="3" l="1"/>
  <c r="Y815" i="3"/>
  <c r="T817" i="3"/>
  <c r="AG817" i="3" s="1"/>
  <c r="E817" i="3" l="1"/>
  <c r="H817" i="3" s="1"/>
  <c r="AH817" i="3"/>
  <c r="D817" i="3"/>
  <c r="F817" i="3" l="1"/>
  <c r="G817" i="3"/>
  <c r="K817" i="3"/>
  <c r="AE817" i="3" s="1"/>
  <c r="V817" i="3" l="1"/>
  <c r="A818" i="3"/>
  <c r="B818" i="3" s="1"/>
  <c r="I817" i="3"/>
  <c r="J817" i="3"/>
  <c r="AD817" i="3" s="1"/>
  <c r="M817" i="3"/>
  <c r="N817" i="3" s="1"/>
  <c r="W817" i="3" l="1"/>
  <c r="L817" i="3"/>
  <c r="Z818" i="3"/>
  <c r="AA818" i="3"/>
  <c r="P818" i="3"/>
  <c r="Q818" i="3" s="1"/>
  <c r="R818" i="3" s="1"/>
  <c r="S818" i="3" s="1"/>
  <c r="AC818" i="3"/>
  <c r="T818" i="3" l="1"/>
  <c r="U817" i="3"/>
  <c r="Y816" i="3"/>
  <c r="E818" i="3" l="1"/>
  <c r="H818" i="3" s="1"/>
  <c r="K818" i="3" s="1"/>
  <c r="AE818" i="3" s="1"/>
  <c r="D818" i="3"/>
  <c r="G818" i="3" s="1"/>
  <c r="AH818" i="3"/>
  <c r="AG818" i="3"/>
  <c r="F818" i="3" l="1"/>
  <c r="V818" i="3"/>
  <c r="A819" i="3"/>
  <c r="B819" i="3" s="1"/>
  <c r="I818" i="3"/>
  <c r="J818" i="3"/>
  <c r="AD818" i="3" s="1"/>
  <c r="M818" i="3"/>
  <c r="N818" i="3" s="1"/>
  <c r="W818" i="3" l="1"/>
  <c r="L818" i="3"/>
  <c r="AC819" i="3"/>
  <c r="AA819" i="3"/>
  <c r="Z819" i="3"/>
  <c r="P819" i="3"/>
  <c r="Q819" i="3" s="1"/>
  <c r="R819" i="3" s="1"/>
  <c r="S819" i="3" s="1"/>
  <c r="T819" i="3" l="1"/>
  <c r="AG819" i="3" s="1"/>
  <c r="U818" i="3"/>
  <c r="Y817" i="3"/>
  <c r="AH819" i="3" l="1"/>
  <c r="E819" i="3"/>
  <c r="H819" i="3" s="1"/>
  <c r="K819" i="3" s="1"/>
  <c r="AE819" i="3" s="1"/>
  <c r="D819" i="3"/>
  <c r="V819" i="3" l="1"/>
  <c r="A820" i="3"/>
  <c r="B820" i="3" s="1"/>
  <c r="F819" i="3"/>
  <c r="G819" i="3"/>
  <c r="I819" i="3" l="1"/>
  <c r="W819" i="3" s="1"/>
  <c r="J819" i="3"/>
  <c r="AD819" i="3" s="1"/>
  <c r="M819" i="3"/>
  <c r="N819" i="3" s="1"/>
  <c r="Z820" i="3"/>
  <c r="AA820" i="3"/>
  <c r="P820" i="3"/>
  <c r="Q820" i="3" s="1"/>
  <c r="R820" i="3" s="1"/>
  <c r="S820" i="3" s="1"/>
  <c r="AC820" i="3"/>
  <c r="T820" i="3" l="1"/>
  <c r="L819" i="3"/>
  <c r="U819" i="3" l="1"/>
  <c r="E820" i="3" s="1"/>
  <c r="H820" i="3" s="1"/>
  <c r="AG820" i="3"/>
  <c r="AH820" i="3"/>
  <c r="Y818" i="3"/>
  <c r="D820" i="3" l="1"/>
  <c r="G820" i="3" s="1"/>
  <c r="K820" i="3"/>
  <c r="AE820" i="3" s="1"/>
  <c r="F820" i="3" l="1"/>
  <c r="I820" i="3"/>
  <c r="J820" i="3"/>
  <c r="AD820" i="3" s="1"/>
  <c r="M820" i="3"/>
  <c r="N820" i="3" s="1"/>
  <c r="V820" i="3"/>
  <c r="A821" i="3"/>
  <c r="B821" i="3" s="1"/>
  <c r="W820" i="3" l="1"/>
  <c r="L820" i="3"/>
  <c r="P821" i="3"/>
  <c r="Q821" i="3" s="1"/>
  <c r="R821" i="3" s="1"/>
  <c r="S821" i="3" s="1"/>
  <c r="AA821" i="3"/>
  <c r="Z821" i="3"/>
  <c r="AC821" i="3"/>
  <c r="U820" i="3" l="1"/>
  <c r="Y819" i="3"/>
  <c r="T821" i="3"/>
  <c r="AH821" i="3" s="1"/>
  <c r="AG821" i="3" l="1"/>
  <c r="D821" i="3"/>
  <c r="G821" i="3" s="1"/>
  <c r="E821" i="3"/>
  <c r="H821" i="3" s="1"/>
  <c r="F821" i="3" l="1"/>
  <c r="K821" i="3"/>
  <c r="AE821" i="3" s="1"/>
  <c r="I821" i="3"/>
  <c r="J821" i="3"/>
  <c r="AD821" i="3" s="1"/>
  <c r="M821" i="3"/>
  <c r="N821" i="3" s="1"/>
  <c r="L821" i="3" l="1"/>
  <c r="V821" i="3"/>
  <c r="W821" i="3" s="1"/>
  <c r="A822" i="3"/>
  <c r="B822" i="3" s="1"/>
  <c r="P822" i="3" l="1"/>
  <c r="Q822" i="3" s="1"/>
  <c r="R822" i="3" s="1"/>
  <c r="S822" i="3" s="1"/>
  <c r="AA822" i="3"/>
  <c r="Z822" i="3"/>
  <c r="AC822" i="3"/>
  <c r="U821" i="3"/>
  <c r="Y820" i="3"/>
  <c r="T822" i="3" l="1"/>
  <c r="AH822" i="3" s="1"/>
  <c r="D822" i="3" l="1"/>
  <c r="E822" i="3"/>
  <c r="H822" i="3" s="1"/>
  <c r="AG822" i="3"/>
  <c r="K822" i="3" l="1"/>
  <c r="AE822" i="3" s="1"/>
  <c r="F822" i="3"/>
  <c r="G822" i="3"/>
  <c r="I822" i="3" l="1"/>
  <c r="J822" i="3"/>
  <c r="AD822" i="3" s="1"/>
  <c r="M822" i="3"/>
  <c r="N822" i="3" s="1"/>
  <c r="V822" i="3"/>
  <c r="A823" i="3"/>
  <c r="B823" i="3" s="1"/>
  <c r="W822" i="3" l="1"/>
  <c r="L822" i="3"/>
  <c r="AC823" i="3"/>
  <c r="Z823" i="3"/>
  <c r="P823" i="3"/>
  <c r="Q823" i="3" s="1"/>
  <c r="R823" i="3" s="1"/>
  <c r="S823" i="3" s="1"/>
  <c r="AA823" i="3"/>
  <c r="U822" i="3" l="1"/>
  <c r="Y821" i="3"/>
  <c r="T823" i="3"/>
  <c r="D823" i="3" l="1"/>
  <c r="G823" i="3" s="1"/>
  <c r="E823" i="3"/>
  <c r="H823" i="3" s="1"/>
  <c r="AG823" i="3"/>
  <c r="AH823" i="3"/>
  <c r="F823" i="3" l="1"/>
  <c r="I823" i="3"/>
  <c r="J823" i="3"/>
  <c r="AD823" i="3" s="1"/>
  <c r="M823" i="3"/>
  <c r="N823" i="3" s="1"/>
  <c r="K823" i="3"/>
  <c r="AE823" i="3" s="1"/>
  <c r="V823" i="3" l="1"/>
  <c r="W823" i="3" s="1"/>
  <c r="A824" i="3"/>
  <c r="B824" i="3" s="1"/>
  <c r="L823" i="3"/>
  <c r="U823" i="3" l="1"/>
  <c r="Y822" i="3"/>
  <c r="Z824" i="3"/>
  <c r="P824" i="3"/>
  <c r="Q824" i="3" s="1"/>
  <c r="R824" i="3" s="1"/>
  <c r="S824" i="3" s="1"/>
  <c r="AC824" i="3"/>
  <c r="AA824" i="3"/>
  <c r="T824" i="3" l="1"/>
  <c r="D824" i="3" s="1"/>
  <c r="AH824" i="3" l="1"/>
  <c r="E824" i="3"/>
  <c r="H824" i="3" s="1"/>
  <c r="K824" i="3" s="1"/>
  <c r="AE824" i="3" s="1"/>
  <c r="AG824" i="3"/>
  <c r="G824" i="3"/>
  <c r="F824" i="3" l="1"/>
  <c r="V824" i="3"/>
  <c r="A825" i="3"/>
  <c r="B825" i="3" s="1"/>
  <c r="I824" i="3"/>
  <c r="J824" i="3"/>
  <c r="AD824" i="3" s="1"/>
  <c r="M824" i="3"/>
  <c r="N824" i="3" s="1"/>
  <c r="L824" i="3" l="1"/>
  <c r="W824" i="3"/>
  <c r="Z825" i="3"/>
  <c r="AC825" i="3"/>
  <c r="P825" i="3"/>
  <c r="Q825" i="3" s="1"/>
  <c r="R825" i="3" s="1"/>
  <c r="S825" i="3" s="1"/>
  <c r="AA825" i="3"/>
  <c r="AD825" i="3"/>
  <c r="T825" i="3" l="1"/>
  <c r="AG825" i="3" s="1"/>
  <c r="U824" i="3"/>
  <c r="Y823" i="3"/>
  <c r="D825" i="3" l="1"/>
  <c r="E825" i="3"/>
  <c r="H825" i="3" s="1"/>
  <c r="AH825" i="3"/>
  <c r="F825" i="3" l="1"/>
  <c r="G825" i="3"/>
  <c r="K825" i="3"/>
  <c r="AE825" i="3" s="1"/>
  <c r="I825" i="3" l="1"/>
  <c r="J825" i="3"/>
  <c r="M825" i="3"/>
  <c r="N825" i="3" s="1"/>
  <c r="V825" i="3"/>
  <c r="A826" i="3"/>
  <c r="B826" i="3" s="1"/>
  <c r="W825" i="3" l="1"/>
  <c r="L825" i="3"/>
  <c r="P826" i="3"/>
  <c r="Q826" i="3" s="1"/>
  <c r="R826" i="3" s="1"/>
  <c r="S826" i="3" s="1"/>
  <c r="Z826" i="3"/>
  <c r="AA826" i="3"/>
  <c r="AD826" i="3"/>
  <c r="AC826" i="3"/>
  <c r="U825" i="3" l="1"/>
  <c r="Y824" i="3"/>
  <c r="T826" i="3"/>
  <c r="AG826" i="3" s="1"/>
  <c r="E826" i="3" l="1"/>
  <c r="H826" i="3" s="1"/>
  <c r="K826" i="3" s="1"/>
  <c r="AE826" i="3" s="1"/>
  <c r="AH826" i="3"/>
  <c r="D826" i="3"/>
  <c r="G826" i="3" s="1"/>
  <c r="F826" i="3" l="1"/>
  <c r="I826" i="3"/>
  <c r="J826" i="3"/>
  <c r="M826" i="3"/>
  <c r="N826" i="3" s="1"/>
  <c r="V826" i="3"/>
  <c r="A827" i="3"/>
  <c r="B827" i="3" s="1"/>
  <c r="W826" i="3" l="1"/>
  <c r="L826" i="3"/>
  <c r="Z827" i="3"/>
  <c r="AA827" i="3"/>
  <c r="AD827" i="3"/>
  <c r="P827" i="3"/>
  <c r="Q827" i="3" s="1"/>
  <c r="R827" i="3" s="1"/>
  <c r="S827" i="3" s="1"/>
  <c r="AC827" i="3"/>
  <c r="U826" i="3" l="1"/>
  <c r="Y825" i="3"/>
  <c r="T827" i="3"/>
  <c r="AH827" i="3" s="1"/>
  <c r="D827" i="3" l="1"/>
  <c r="G827" i="3" s="1"/>
  <c r="E827" i="3"/>
  <c r="H827" i="3" s="1"/>
  <c r="K827" i="3" s="1"/>
  <c r="AE827" i="3" s="1"/>
  <c r="AG827" i="3"/>
  <c r="F827" i="3" l="1"/>
  <c r="V827" i="3"/>
  <c r="A828" i="3"/>
  <c r="B828" i="3" s="1"/>
  <c r="I827" i="3"/>
  <c r="J827" i="3"/>
  <c r="M827" i="3"/>
  <c r="N827" i="3" s="1"/>
  <c r="W827" i="3" l="1"/>
  <c r="L827" i="3"/>
  <c r="AD828" i="3"/>
  <c r="P828" i="3"/>
  <c r="Q828" i="3" s="1"/>
  <c r="R828" i="3" s="1"/>
  <c r="S828" i="3" s="1"/>
  <c r="AC828" i="3"/>
  <c r="AA828" i="3"/>
  <c r="Z828" i="3"/>
  <c r="U827" i="3" l="1"/>
  <c r="Y826" i="3"/>
  <c r="T828" i="3"/>
  <c r="D828" i="3" l="1"/>
  <c r="G828" i="3" s="1"/>
  <c r="AG828" i="3"/>
  <c r="AH828" i="3"/>
  <c r="E828" i="3"/>
  <c r="H828" i="3" s="1"/>
  <c r="F828" i="3" l="1"/>
  <c r="I828" i="3"/>
  <c r="J828" i="3"/>
  <c r="M828" i="3"/>
  <c r="N828" i="3" s="1"/>
  <c r="K828" i="3"/>
  <c r="AE828" i="3" s="1"/>
  <c r="V828" i="3" l="1"/>
  <c r="W828" i="3" s="1"/>
  <c r="A829" i="3"/>
  <c r="B829" i="3" s="1"/>
  <c r="L828" i="3"/>
  <c r="U828" i="3" l="1"/>
  <c r="Y827" i="3"/>
  <c r="AC829" i="3"/>
  <c r="Z829" i="3"/>
  <c r="AA829" i="3"/>
  <c r="P829" i="3"/>
  <c r="Q829" i="3" s="1"/>
  <c r="R829" i="3" s="1"/>
  <c r="S829" i="3" s="1"/>
  <c r="AD829" i="3"/>
  <c r="T829" i="3" l="1"/>
  <c r="E829" i="3" s="1"/>
  <c r="H829" i="3" s="1"/>
  <c r="AH829" i="3" l="1"/>
  <c r="D829" i="3"/>
  <c r="G829" i="3" s="1"/>
  <c r="AG829" i="3"/>
  <c r="K829" i="3"/>
  <c r="AE829" i="3" s="1"/>
  <c r="F829" i="3" l="1"/>
  <c r="I829" i="3"/>
  <c r="J829" i="3"/>
  <c r="M829" i="3"/>
  <c r="N829" i="3" s="1"/>
  <c r="V829" i="3"/>
  <c r="A830" i="3"/>
  <c r="B830" i="3" s="1"/>
  <c r="W829" i="3" l="1"/>
  <c r="L829" i="3"/>
  <c r="AA830" i="3"/>
  <c r="Z830" i="3"/>
  <c r="AC830" i="3"/>
  <c r="AD830" i="3"/>
  <c r="P830" i="3"/>
  <c r="Q830" i="3" s="1"/>
  <c r="R830" i="3" s="1"/>
  <c r="S830" i="3" s="1"/>
  <c r="U829" i="3" l="1"/>
  <c r="Y828" i="3"/>
  <c r="T830" i="3"/>
  <c r="D830" i="3" l="1"/>
  <c r="G830" i="3" s="1"/>
  <c r="E830" i="3"/>
  <c r="H830" i="3" s="1"/>
  <c r="AG830" i="3"/>
  <c r="AH830" i="3"/>
  <c r="F830" i="3" l="1"/>
  <c r="I830" i="3"/>
  <c r="J830" i="3"/>
  <c r="M830" i="3"/>
  <c r="N830" i="3" s="1"/>
  <c r="K830" i="3"/>
  <c r="AE830" i="3" s="1"/>
  <c r="V830" i="3" l="1"/>
  <c r="W830" i="3" s="1"/>
  <c r="A831" i="3"/>
  <c r="B831" i="3" s="1"/>
  <c r="L830" i="3"/>
  <c r="U830" i="3" l="1"/>
  <c r="Y829" i="3"/>
  <c r="Z831" i="3"/>
  <c r="P831" i="3"/>
  <c r="Q831" i="3" s="1"/>
  <c r="R831" i="3" s="1"/>
  <c r="S831" i="3" s="1"/>
  <c r="AA831" i="3"/>
  <c r="AD831" i="3"/>
  <c r="AC831" i="3"/>
  <c r="T831" i="3" l="1"/>
  <c r="AH831" i="3" s="1"/>
  <c r="E831" i="3" l="1"/>
  <c r="H831" i="3" s="1"/>
  <c r="K831" i="3" s="1"/>
  <c r="AE831" i="3" s="1"/>
  <c r="D831" i="3"/>
  <c r="G831" i="3" s="1"/>
  <c r="AG831" i="3"/>
  <c r="F831" i="3" l="1"/>
  <c r="I831" i="3"/>
  <c r="J831" i="3"/>
  <c r="M831" i="3"/>
  <c r="N831" i="3" s="1"/>
  <c r="V831" i="3"/>
  <c r="A832" i="3"/>
  <c r="B832" i="3" s="1"/>
  <c r="W831" i="3" l="1"/>
  <c r="L831" i="3"/>
  <c r="P832" i="3"/>
  <c r="Q832" i="3" s="1"/>
  <c r="R832" i="3" s="1"/>
  <c r="S832" i="3" s="1"/>
  <c r="AC832" i="3"/>
  <c r="AD832" i="3"/>
  <c r="Z832" i="3"/>
  <c r="AA832" i="3"/>
  <c r="U831" i="3" l="1"/>
  <c r="Y830" i="3"/>
  <c r="T832" i="3"/>
  <c r="AH832" i="3" s="1"/>
  <c r="D832" i="3" l="1"/>
  <c r="G832" i="3" s="1"/>
  <c r="AG832" i="3"/>
  <c r="E832" i="3"/>
  <c r="H832" i="3" s="1"/>
  <c r="K832" i="3" l="1"/>
  <c r="AE832" i="3" s="1"/>
  <c r="I832" i="3"/>
  <c r="J832" i="3"/>
  <c r="M832" i="3"/>
  <c r="N832" i="3" s="1"/>
  <c r="F832" i="3"/>
  <c r="L832" i="3" l="1"/>
  <c r="V832" i="3"/>
  <c r="W832" i="3" s="1"/>
  <c r="A833" i="3"/>
  <c r="B833" i="3" s="1"/>
  <c r="U832" i="3" l="1"/>
  <c r="Y831" i="3"/>
  <c r="Z833" i="3"/>
  <c r="AC833" i="3"/>
  <c r="P833" i="3"/>
  <c r="Q833" i="3" s="1"/>
  <c r="R833" i="3" s="1"/>
  <c r="S833" i="3" s="1"/>
  <c r="AD833" i="3"/>
  <c r="AA833" i="3"/>
  <c r="T833" i="3" l="1"/>
  <c r="AH833" i="3" s="1"/>
  <c r="E833" i="3" l="1"/>
  <c r="H833" i="3" s="1"/>
  <c r="K833" i="3" s="1"/>
  <c r="AE833" i="3" s="1"/>
  <c r="AG833" i="3"/>
  <c r="D833" i="3"/>
  <c r="G833" i="3" s="1"/>
  <c r="F833" i="3" l="1"/>
  <c r="I833" i="3"/>
  <c r="J833" i="3"/>
  <c r="M833" i="3"/>
  <c r="N833" i="3" s="1"/>
  <c r="V833" i="3"/>
  <c r="A834" i="3"/>
  <c r="B834" i="3" s="1"/>
  <c r="L833" i="3" l="1"/>
  <c r="W833" i="3"/>
  <c r="AC834" i="3"/>
  <c r="P834" i="3"/>
  <c r="Q834" i="3" s="1"/>
  <c r="R834" i="3" s="1"/>
  <c r="S834" i="3" s="1"/>
  <c r="AA834" i="3"/>
  <c r="Z834" i="3"/>
  <c r="U833" i="3" l="1"/>
  <c r="Y832" i="3"/>
  <c r="T834" i="3"/>
  <c r="D834" i="3" l="1"/>
  <c r="G834" i="3" s="1"/>
  <c r="E834" i="3"/>
  <c r="H834" i="3" s="1"/>
  <c r="K834" i="3" s="1"/>
  <c r="AE834" i="3" s="1"/>
  <c r="AH834" i="3"/>
  <c r="AG834" i="3"/>
  <c r="F834" i="3" l="1"/>
  <c r="V834" i="3"/>
  <c r="A835" i="3"/>
  <c r="B835" i="3" s="1"/>
  <c r="I834" i="3"/>
  <c r="J834" i="3"/>
  <c r="AD834" i="3" s="1"/>
  <c r="M834" i="3"/>
  <c r="N834" i="3" s="1"/>
  <c r="W834" i="3" l="1"/>
  <c r="L834" i="3"/>
  <c r="Z835" i="3"/>
  <c r="P835" i="3"/>
  <c r="Q835" i="3" s="1"/>
  <c r="R835" i="3" s="1"/>
  <c r="S835" i="3" s="1"/>
  <c r="AC835" i="3"/>
  <c r="AA835" i="3"/>
  <c r="T835" i="3" l="1"/>
  <c r="U834" i="3"/>
  <c r="Y833" i="3"/>
  <c r="E835" i="3" l="1"/>
  <c r="H835" i="3" s="1"/>
  <c r="K835" i="3" s="1"/>
  <c r="AE835" i="3" s="1"/>
  <c r="AH835" i="3"/>
  <c r="AG835" i="3"/>
  <c r="D835" i="3"/>
  <c r="F835" i="3" l="1"/>
  <c r="G835" i="3"/>
  <c r="V835" i="3"/>
  <c r="A836" i="3"/>
  <c r="B836" i="3" s="1"/>
  <c r="I835" i="3" l="1"/>
  <c r="W835" i="3" s="1"/>
  <c r="J835" i="3"/>
  <c r="AD835" i="3" s="1"/>
  <c r="M835" i="3"/>
  <c r="N835" i="3" s="1"/>
  <c r="Z836" i="3"/>
  <c r="AA836" i="3"/>
  <c r="AC836" i="3"/>
  <c r="P836" i="3"/>
  <c r="Q836" i="3" s="1"/>
  <c r="R836" i="3" s="1"/>
  <c r="S836" i="3" s="1"/>
  <c r="T836" i="3" l="1"/>
  <c r="L835" i="3"/>
  <c r="AG836" i="3" l="1"/>
  <c r="U835" i="3"/>
  <c r="D836" i="3" s="1"/>
  <c r="AH836" i="3"/>
  <c r="Y834" i="3"/>
  <c r="E836" i="3" l="1"/>
  <c r="H836" i="3" s="1"/>
  <c r="K836" i="3" s="1"/>
  <c r="AE836" i="3" s="1"/>
  <c r="G836" i="3"/>
  <c r="F836" i="3" l="1"/>
  <c r="V836" i="3"/>
  <c r="A837" i="3"/>
  <c r="B837" i="3" s="1"/>
  <c r="I836" i="3"/>
  <c r="J836" i="3"/>
  <c r="AD836" i="3" s="1"/>
  <c r="M836" i="3"/>
  <c r="N836" i="3" s="1"/>
  <c r="L836" i="3" l="1"/>
  <c r="W836" i="3"/>
  <c r="P837" i="3"/>
  <c r="Q837" i="3" s="1"/>
  <c r="R837" i="3" s="1"/>
  <c r="S837" i="3" s="1"/>
  <c r="AA837" i="3"/>
  <c r="AC837" i="3"/>
  <c r="Z837" i="3"/>
  <c r="U836" i="3" l="1"/>
  <c r="Y835" i="3"/>
  <c r="T837" i="3"/>
  <c r="AH837" i="3" s="1"/>
  <c r="E837" i="3" l="1"/>
  <c r="H837" i="3" s="1"/>
  <c r="K837" i="3" s="1"/>
  <c r="AE837" i="3" s="1"/>
  <c r="D837" i="3"/>
  <c r="G837" i="3" s="1"/>
  <c r="AG837" i="3"/>
  <c r="F837" i="3" l="1"/>
  <c r="I837" i="3"/>
  <c r="J837" i="3"/>
  <c r="AD837" i="3" s="1"/>
  <c r="M837" i="3"/>
  <c r="N837" i="3" s="1"/>
  <c r="V837" i="3"/>
  <c r="A838" i="3"/>
  <c r="B838" i="3" s="1"/>
  <c r="W837" i="3" l="1"/>
  <c r="L837" i="3"/>
  <c r="P838" i="3"/>
  <c r="Q838" i="3" s="1"/>
  <c r="R838" i="3" s="1"/>
  <c r="S838" i="3" s="1"/>
  <c r="AA838" i="3"/>
  <c r="AC838" i="3"/>
  <c r="Z838" i="3"/>
  <c r="U837" i="3" l="1"/>
  <c r="Y836" i="3"/>
  <c r="T838" i="3"/>
  <c r="AH838" i="3" s="1"/>
  <c r="E838" i="3" l="1"/>
  <c r="H838" i="3" s="1"/>
  <c r="D838" i="3"/>
  <c r="AG838" i="3"/>
  <c r="K838" i="3" l="1"/>
  <c r="AE838" i="3" s="1"/>
  <c r="F838" i="3"/>
  <c r="G838" i="3"/>
  <c r="V838" i="3" l="1"/>
  <c r="A839" i="3"/>
  <c r="B839" i="3" s="1"/>
  <c r="I838" i="3"/>
  <c r="J838" i="3"/>
  <c r="AD838" i="3" s="1"/>
  <c r="M838" i="3"/>
  <c r="N838" i="3" s="1"/>
  <c r="W838" i="3" l="1"/>
  <c r="L838" i="3"/>
  <c r="AC839" i="3"/>
  <c r="Z839" i="3"/>
  <c r="AA839" i="3"/>
  <c r="P839" i="3"/>
  <c r="Q839" i="3" s="1"/>
  <c r="R839" i="3" s="1"/>
  <c r="S839" i="3" s="1"/>
  <c r="U838" i="3" l="1"/>
  <c r="Y837" i="3"/>
  <c r="T839" i="3"/>
  <c r="AG839" i="3" s="1"/>
  <c r="D839" i="3" l="1"/>
  <c r="E839" i="3"/>
  <c r="H839" i="3" s="1"/>
  <c r="AH839" i="3"/>
  <c r="F839" i="3" l="1"/>
  <c r="G839" i="3"/>
  <c r="K839" i="3"/>
  <c r="AE839" i="3" s="1"/>
  <c r="V839" i="3" l="1"/>
  <c r="A840" i="3"/>
  <c r="B840" i="3" s="1"/>
  <c r="I839" i="3"/>
  <c r="J839" i="3"/>
  <c r="AD839" i="3" s="1"/>
  <c r="M839" i="3"/>
  <c r="N839" i="3" s="1"/>
  <c r="W839" i="3" l="1"/>
  <c r="L839" i="3"/>
  <c r="AC840" i="3"/>
  <c r="P840" i="3"/>
  <c r="Q840" i="3" s="1"/>
  <c r="R840" i="3" s="1"/>
  <c r="S840" i="3" s="1"/>
  <c r="AA840" i="3"/>
  <c r="Z840" i="3"/>
  <c r="T840" i="3" l="1"/>
  <c r="U839" i="3"/>
  <c r="Y838" i="3"/>
  <c r="D840" i="3" l="1"/>
  <c r="G840" i="3" s="1"/>
  <c r="AG840" i="3"/>
  <c r="E840" i="3"/>
  <c r="H840" i="3" s="1"/>
  <c r="AH840" i="3"/>
  <c r="K840" i="3" l="1"/>
  <c r="AE840" i="3" s="1"/>
  <c r="I840" i="3"/>
  <c r="J840" i="3"/>
  <c r="AD840" i="3" s="1"/>
  <c r="M840" i="3"/>
  <c r="N840" i="3" s="1"/>
  <c r="F840" i="3"/>
  <c r="L840" i="3" l="1"/>
  <c r="V840" i="3"/>
  <c r="W840" i="3" s="1"/>
  <c r="A841" i="3"/>
  <c r="B841" i="3" s="1"/>
  <c r="U840" i="3" l="1"/>
  <c r="Y839" i="3"/>
  <c r="AA841" i="3"/>
  <c r="Z841" i="3"/>
  <c r="AC841" i="3"/>
  <c r="P841" i="3"/>
  <c r="Q841" i="3" s="1"/>
  <c r="R841" i="3" s="1"/>
  <c r="S841" i="3" s="1"/>
  <c r="T841" i="3" l="1"/>
  <c r="AH841" i="3" s="1"/>
  <c r="E841" i="3" l="1"/>
  <c r="H841" i="3" s="1"/>
  <c r="K841" i="3" s="1"/>
  <c r="AE841" i="3" s="1"/>
  <c r="AG841" i="3"/>
  <c r="D841" i="3"/>
  <c r="G841" i="3" s="1"/>
  <c r="F841" i="3" l="1"/>
  <c r="I841" i="3"/>
  <c r="J841" i="3"/>
  <c r="AD841" i="3" s="1"/>
  <c r="M841" i="3"/>
  <c r="N841" i="3" s="1"/>
  <c r="V841" i="3"/>
  <c r="A842" i="3"/>
  <c r="B842" i="3" s="1"/>
  <c r="W841" i="3" l="1"/>
  <c r="L841" i="3"/>
  <c r="P842" i="3"/>
  <c r="Q842" i="3" s="1"/>
  <c r="R842" i="3" s="1"/>
  <c r="S842" i="3" s="1"/>
  <c r="Z842" i="3"/>
  <c r="AC842" i="3"/>
  <c r="AA842" i="3"/>
  <c r="U841" i="3" l="1"/>
  <c r="Y840" i="3"/>
  <c r="T842" i="3"/>
  <c r="AG842" i="3" s="1"/>
  <c r="D842" i="3" l="1"/>
  <c r="G842" i="3" s="1"/>
  <c r="E842" i="3"/>
  <c r="H842" i="3" s="1"/>
  <c r="K842" i="3" s="1"/>
  <c r="AE842" i="3" s="1"/>
  <c r="AH842" i="3"/>
  <c r="F842" i="3" l="1"/>
  <c r="V842" i="3"/>
  <c r="A843" i="3"/>
  <c r="B843" i="3" s="1"/>
  <c r="I842" i="3"/>
  <c r="J842" i="3"/>
  <c r="AD842" i="3" s="1"/>
  <c r="M842" i="3"/>
  <c r="N842" i="3" s="1"/>
  <c r="W842" i="3" l="1"/>
  <c r="L842" i="3"/>
  <c r="AC843" i="3"/>
  <c r="AA843" i="3"/>
  <c r="Z843" i="3"/>
  <c r="P843" i="3"/>
  <c r="Q843" i="3" s="1"/>
  <c r="R843" i="3" s="1"/>
  <c r="S843" i="3" s="1"/>
  <c r="U842" i="3" l="1"/>
  <c r="Y841" i="3"/>
  <c r="T843" i="3"/>
  <c r="AG843" i="3" s="1"/>
  <c r="D843" i="3" l="1"/>
  <c r="E843" i="3"/>
  <c r="H843" i="3" s="1"/>
  <c r="AH843" i="3"/>
  <c r="F843" i="3" l="1"/>
  <c r="G843" i="3"/>
  <c r="K843" i="3"/>
  <c r="AE843" i="3" s="1"/>
  <c r="V843" i="3" l="1"/>
  <c r="A844" i="3"/>
  <c r="B844" i="3" s="1"/>
  <c r="I843" i="3"/>
  <c r="J843" i="3"/>
  <c r="AD843" i="3" s="1"/>
  <c r="M843" i="3"/>
  <c r="N843" i="3" s="1"/>
  <c r="W843" i="3" l="1"/>
  <c r="L843" i="3"/>
  <c r="AC844" i="3"/>
  <c r="P844" i="3"/>
  <c r="Q844" i="3" s="1"/>
  <c r="R844" i="3" s="1"/>
  <c r="S844" i="3" s="1"/>
  <c r="Z844" i="3"/>
  <c r="AA844" i="3"/>
  <c r="U843" i="3" l="1"/>
  <c r="Y842" i="3"/>
  <c r="T844" i="3"/>
  <c r="AH844" i="3" s="1"/>
  <c r="AG844" i="3" l="1"/>
  <c r="E844" i="3"/>
  <c r="H844" i="3" s="1"/>
  <c r="K844" i="3" s="1"/>
  <c r="AE844" i="3" s="1"/>
  <c r="D844" i="3"/>
  <c r="V844" i="3" l="1"/>
  <c r="A845" i="3"/>
  <c r="B845" i="3" s="1"/>
  <c r="F844" i="3"/>
  <c r="G844" i="3"/>
  <c r="I844" i="3" l="1"/>
  <c r="W844" i="3" s="1"/>
  <c r="J844" i="3"/>
  <c r="AD844" i="3" s="1"/>
  <c r="M844" i="3"/>
  <c r="N844" i="3" s="1"/>
  <c r="AC845" i="3"/>
  <c r="P845" i="3"/>
  <c r="Q845" i="3" s="1"/>
  <c r="R845" i="3" s="1"/>
  <c r="S845" i="3" s="1"/>
  <c r="Z845" i="3"/>
  <c r="AA845" i="3"/>
  <c r="T845" i="3" l="1"/>
  <c r="L844" i="3"/>
  <c r="AH845" i="3" l="1"/>
  <c r="U844" i="3"/>
  <c r="D845" i="3" s="1"/>
  <c r="AG845" i="3"/>
  <c r="Y843" i="3"/>
  <c r="E845" i="3" l="1"/>
  <c r="H845" i="3" s="1"/>
  <c r="K845" i="3" s="1"/>
  <c r="AE845" i="3" s="1"/>
  <c r="G845" i="3"/>
  <c r="F845" i="3" l="1"/>
  <c r="I845" i="3"/>
  <c r="J845" i="3"/>
  <c r="AD845" i="3" s="1"/>
  <c r="M845" i="3"/>
  <c r="N845" i="3" s="1"/>
  <c r="V845" i="3"/>
  <c r="A846" i="3"/>
  <c r="B846" i="3" s="1"/>
  <c r="W845" i="3" l="1"/>
  <c r="L845" i="3"/>
  <c r="P846" i="3"/>
  <c r="Q846" i="3" s="1"/>
  <c r="R846" i="3" s="1"/>
  <c r="S846" i="3" s="1"/>
  <c r="AC846" i="3"/>
  <c r="Z846" i="3"/>
  <c r="AA846" i="3"/>
  <c r="U845" i="3" l="1"/>
  <c r="Y844" i="3"/>
  <c r="T846" i="3"/>
  <c r="AH846" i="3" s="1"/>
  <c r="D846" i="3" l="1"/>
  <c r="G846" i="3" s="1"/>
  <c r="E846" i="3"/>
  <c r="H846" i="3" s="1"/>
  <c r="K846" i="3" s="1"/>
  <c r="AE846" i="3" s="1"/>
  <c r="AG846" i="3"/>
  <c r="F846" i="3" l="1"/>
  <c r="I846" i="3"/>
  <c r="J846" i="3"/>
  <c r="AD846" i="3" s="1"/>
  <c r="M846" i="3"/>
  <c r="N846" i="3" s="1"/>
  <c r="V846" i="3"/>
  <c r="A847" i="3"/>
  <c r="B847" i="3" s="1"/>
  <c r="W846" i="3" l="1"/>
  <c r="L846" i="3"/>
  <c r="AC847" i="3"/>
  <c r="P847" i="3"/>
  <c r="Q847" i="3" s="1"/>
  <c r="R847" i="3" s="1"/>
  <c r="S847" i="3" s="1"/>
  <c r="AA847" i="3"/>
  <c r="Z847" i="3"/>
  <c r="U846" i="3" l="1"/>
  <c r="Y845" i="3"/>
  <c r="T847" i="3"/>
  <c r="D847" i="3" l="1"/>
  <c r="G847" i="3" s="1"/>
  <c r="E847" i="3"/>
  <c r="H847" i="3" s="1"/>
  <c r="K847" i="3" s="1"/>
  <c r="AE847" i="3" s="1"/>
  <c r="AH847" i="3"/>
  <c r="AG847" i="3"/>
  <c r="F847" i="3" l="1"/>
  <c r="I847" i="3"/>
  <c r="J847" i="3"/>
  <c r="AD847" i="3" s="1"/>
  <c r="M847" i="3"/>
  <c r="N847" i="3" s="1"/>
  <c r="V847" i="3"/>
  <c r="A848" i="3"/>
  <c r="B848" i="3" s="1"/>
  <c r="W847" i="3" l="1"/>
  <c r="L847" i="3"/>
  <c r="AA848" i="3"/>
  <c r="P848" i="3"/>
  <c r="Q848" i="3" s="1"/>
  <c r="R848" i="3" s="1"/>
  <c r="S848" i="3" s="1"/>
  <c r="Z848" i="3"/>
  <c r="AC848" i="3"/>
  <c r="U847" i="3" l="1"/>
  <c r="Y846" i="3"/>
  <c r="T848" i="3"/>
  <c r="AG848" i="3" s="1"/>
  <c r="D848" i="3" l="1"/>
  <c r="AH848" i="3"/>
  <c r="E848" i="3"/>
  <c r="H848" i="3" s="1"/>
  <c r="F848" i="3" l="1"/>
  <c r="G848" i="3"/>
  <c r="K848" i="3"/>
  <c r="AE848" i="3" s="1"/>
  <c r="V848" i="3" l="1"/>
  <c r="A849" i="3"/>
  <c r="B849" i="3" s="1"/>
  <c r="I848" i="3"/>
  <c r="J848" i="3"/>
  <c r="AD848" i="3" s="1"/>
  <c r="M848" i="3"/>
  <c r="N848" i="3" s="1"/>
  <c r="W848" i="3" l="1"/>
  <c r="L848" i="3"/>
  <c r="P849" i="3"/>
  <c r="Q849" i="3" s="1"/>
  <c r="R849" i="3" s="1"/>
  <c r="S849" i="3" s="1"/>
  <c r="AC849" i="3"/>
  <c r="Z849" i="3"/>
  <c r="AA849" i="3"/>
  <c r="U848" i="3" l="1"/>
  <c r="Y847" i="3"/>
  <c r="T849" i="3"/>
  <c r="AG849" i="3" s="1"/>
  <c r="E849" i="3" l="1"/>
  <c r="H849" i="3" s="1"/>
  <c r="K849" i="3" s="1"/>
  <c r="AE849" i="3" s="1"/>
  <c r="D849" i="3"/>
  <c r="G849" i="3" s="1"/>
  <c r="AH849" i="3"/>
  <c r="F849" i="3" l="1"/>
  <c r="V849" i="3"/>
  <c r="A850" i="3"/>
  <c r="B850" i="3" s="1"/>
  <c r="I849" i="3"/>
  <c r="J849" i="3"/>
  <c r="AD849" i="3" s="1"/>
  <c r="M849" i="3"/>
  <c r="N849" i="3" s="1"/>
  <c r="W849" i="3" l="1"/>
  <c r="L849" i="3"/>
  <c r="AA850" i="3"/>
  <c r="AC850" i="3"/>
  <c r="P850" i="3"/>
  <c r="Q850" i="3" s="1"/>
  <c r="R850" i="3" s="1"/>
  <c r="S850" i="3" s="1"/>
  <c r="Z850" i="3"/>
  <c r="T850" i="3" l="1"/>
  <c r="AG850" i="3" s="1"/>
  <c r="U849" i="3"/>
  <c r="Y848" i="3"/>
  <c r="E850" i="3" l="1"/>
  <c r="H850" i="3" s="1"/>
  <c r="D850" i="3"/>
  <c r="AH850" i="3"/>
  <c r="K850" i="3" l="1"/>
  <c r="AE850" i="3" s="1"/>
  <c r="F850" i="3"/>
  <c r="G850" i="3"/>
  <c r="I850" i="3" l="1"/>
  <c r="J850" i="3"/>
  <c r="AD850" i="3" s="1"/>
  <c r="M850" i="3"/>
  <c r="N850" i="3" s="1"/>
  <c r="V850" i="3"/>
  <c r="A851" i="3"/>
  <c r="B851" i="3" s="1"/>
  <c r="W850" i="3" l="1"/>
  <c r="L850" i="3"/>
  <c r="P851" i="3"/>
  <c r="Q851" i="3" s="1"/>
  <c r="R851" i="3" s="1"/>
  <c r="S851" i="3" s="1"/>
  <c r="AA851" i="3"/>
  <c r="AC851" i="3"/>
  <c r="Z851" i="3"/>
  <c r="U850" i="3" l="1"/>
  <c r="Y849" i="3"/>
  <c r="T851" i="3"/>
  <c r="AH851" i="3" s="1"/>
  <c r="E851" i="3" l="1"/>
  <c r="H851" i="3" s="1"/>
  <c r="K851" i="3" s="1"/>
  <c r="AE851" i="3" s="1"/>
  <c r="AG851" i="3"/>
  <c r="D851" i="3"/>
  <c r="F851" i="3" l="1"/>
  <c r="G851" i="3"/>
  <c r="M851" i="3" s="1"/>
  <c r="N851" i="3" s="1"/>
  <c r="V851" i="3"/>
  <c r="A852" i="3"/>
  <c r="B852" i="3" s="1"/>
  <c r="I851" i="3" l="1"/>
  <c r="W851" i="3" s="1"/>
  <c r="J851" i="3"/>
  <c r="AC852" i="3"/>
  <c r="AA852" i="3"/>
  <c r="P852" i="3"/>
  <c r="Q852" i="3" s="1"/>
  <c r="R852" i="3" s="1"/>
  <c r="S852" i="3" s="1"/>
  <c r="Z852" i="3"/>
  <c r="L851" i="3" l="1"/>
  <c r="U851" i="3" s="1"/>
  <c r="AD851" i="3"/>
  <c r="T852" i="3"/>
  <c r="Y850" i="3" l="1"/>
  <c r="D852" i="3"/>
  <c r="G852" i="3" s="1"/>
  <c r="AH852" i="3"/>
  <c r="E852" i="3"/>
  <c r="H852" i="3" s="1"/>
  <c r="AG852" i="3"/>
  <c r="F852" i="3" l="1"/>
  <c r="I852" i="3"/>
  <c r="J852" i="3"/>
  <c r="AD852" i="3" s="1"/>
  <c r="M852" i="3"/>
  <c r="N852" i="3" s="1"/>
  <c r="K852" i="3"/>
  <c r="AE852" i="3" s="1"/>
  <c r="L852" i="3" l="1"/>
  <c r="V852" i="3"/>
  <c r="W852" i="3" s="1"/>
  <c r="A853" i="3"/>
  <c r="B853" i="3" s="1"/>
  <c r="U852" i="3" l="1"/>
  <c r="Y851" i="3"/>
  <c r="AC853" i="3"/>
  <c r="P853" i="3"/>
  <c r="Q853" i="3" s="1"/>
  <c r="R853" i="3" s="1"/>
  <c r="S853" i="3" s="1"/>
  <c r="Z853" i="3"/>
  <c r="AA853" i="3"/>
  <c r="T853" i="3" l="1"/>
  <c r="AG853" i="3" s="1"/>
  <c r="E853" i="3" l="1"/>
  <c r="H853" i="3" s="1"/>
  <c r="AH853" i="3"/>
  <c r="D853" i="3"/>
  <c r="K853" i="3" l="1"/>
  <c r="AE853" i="3" s="1"/>
  <c r="F853" i="3"/>
  <c r="G853" i="3"/>
  <c r="I853" i="3" l="1"/>
  <c r="J853" i="3"/>
  <c r="AD853" i="3" s="1"/>
  <c r="M853" i="3"/>
  <c r="N853" i="3" s="1"/>
  <c r="V853" i="3"/>
  <c r="A854" i="3"/>
  <c r="B854" i="3" s="1"/>
  <c r="W853" i="3" l="1"/>
  <c r="L853" i="3"/>
  <c r="Z854" i="3"/>
  <c r="P854" i="3"/>
  <c r="Q854" i="3" s="1"/>
  <c r="R854" i="3" s="1"/>
  <c r="S854" i="3" s="1"/>
  <c r="AC854" i="3"/>
  <c r="AA854" i="3"/>
  <c r="U853" i="3" l="1"/>
  <c r="Y852" i="3"/>
  <c r="T854" i="3"/>
  <c r="AG854" i="3" s="1"/>
  <c r="E854" i="3" l="1"/>
  <c r="H854" i="3" s="1"/>
  <c r="K854" i="3" s="1"/>
  <c r="AE854" i="3" s="1"/>
  <c r="AH854" i="3"/>
  <c r="D854" i="3"/>
  <c r="G854" i="3" s="1"/>
  <c r="F854" i="3" l="1"/>
  <c r="I854" i="3"/>
  <c r="J854" i="3"/>
  <c r="AD854" i="3" s="1"/>
  <c r="M854" i="3"/>
  <c r="N854" i="3" s="1"/>
  <c r="V854" i="3"/>
  <c r="A855" i="3"/>
  <c r="B855" i="3" s="1"/>
  <c r="W854" i="3" l="1"/>
  <c r="L854" i="3"/>
  <c r="Z855" i="3"/>
  <c r="P855" i="3"/>
  <c r="Q855" i="3" s="1"/>
  <c r="R855" i="3" s="1"/>
  <c r="S855" i="3" s="1"/>
  <c r="AA855" i="3"/>
  <c r="AC855" i="3"/>
  <c r="T855" i="3" l="1"/>
  <c r="AG855" i="3" s="1"/>
  <c r="U854" i="3"/>
  <c r="Y853" i="3"/>
  <c r="E855" i="3" l="1"/>
  <c r="H855" i="3" s="1"/>
  <c r="K855" i="3" s="1"/>
  <c r="AE855" i="3" s="1"/>
  <c r="D855" i="3"/>
  <c r="AH855" i="3"/>
  <c r="F855" i="3" l="1"/>
  <c r="G855" i="3"/>
  <c r="V855" i="3"/>
  <c r="A856" i="3"/>
  <c r="B856" i="3" s="1"/>
  <c r="AA856" i="3" l="1"/>
  <c r="P856" i="3"/>
  <c r="Q856" i="3" s="1"/>
  <c r="R856" i="3" s="1"/>
  <c r="S856" i="3" s="1"/>
  <c r="Z856" i="3"/>
  <c r="AC856" i="3"/>
  <c r="I855" i="3"/>
  <c r="W855" i="3" s="1"/>
  <c r="J855" i="3"/>
  <c r="AD855" i="3" s="1"/>
  <c r="M855" i="3"/>
  <c r="N855" i="3" s="1"/>
  <c r="L855" i="3" l="1"/>
  <c r="T856" i="3"/>
  <c r="U855" i="3" l="1"/>
  <c r="D856" i="3" s="1"/>
  <c r="AH856" i="3"/>
  <c r="AG856" i="3"/>
  <c r="Y854" i="3"/>
  <c r="G856" i="3" l="1"/>
  <c r="E856" i="3"/>
  <c r="H856" i="3" s="1"/>
  <c r="F856" i="3" l="1"/>
  <c r="K856" i="3"/>
  <c r="AE856" i="3" s="1"/>
  <c r="I856" i="3"/>
  <c r="J856" i="3"/>
  <c r="AD856" i="3" s="1"/>
  <c r="M856" i="3"/>
  <c r="N856" i="3" s="1"/>
  <c r="L856" i="3" l="1"/>
  <c r="V856" i="3"/>
  <c r="W856" i="3" s="1"/>
  <c r="A857" i="3"/>
  <c r="B857" i="3" s="1"/>
  <c r="Z857" i="3" l="1"/>
  <c r="AC857" i="3"/>
  <c r="AA857" i="3"/>
  <c r="P857" i="3"/>
  <c r="Q857" i="3" s="1"/>
  <c r="R857" i="3" s="1"/>
  <c r="S857" i="3" s="1"/>
  <c r="U856" i="3"/>
  <c r="Y855" i="3"/>
  <c r="T857" i="3" l="1"/>
  <c r="E857" i="3" l="1"/>
  <c r="H857" i="3" s="1"/>
  <c r="AG857" i="3"/>
  <c r="D857" i="3"/>
  <c r="AH857" i="3"/>
  <c r="K857" i="3" l="1"/>
  <c r="AE857" i="3" s="1"/>
  <c r="F857" i="3"/>
  <c r="G857" i="3"/>
  <c r="I857" i="3" l="1"/>
  <c r="J857" i="3"/>
  <c r="AD857" i="3" s="1"/>
  <c r="M857" i="3"/>
  <c r="N857" i="3" s="1"/>
  <c r="V857" i="3"/>
  <c r="A858" i="3"/>
  <c r="B858" i="3" s="1"/>
  <c r="W857" i="3" l="1"/>
  <c r="L857" i="3"/>
  <c r="AA858" i="3"/>
  <c r="Z858" i="3"/>
  <c r="P858" i="3"/>
  <c r="Q858" i="3" s="1"/>
  <c r="R858" i="3" s="1"/>
  <c r="S858" i="3" s="1"/>
  <c r="AC858" i="3"/>
  <c r="U857" i="3" l="1"/>
  <c r="Y856" i="3"/>
  <c r="T858" i="3"/>
  <c r="D858" i="3" l="1"/>
  <c r="G858" i="3" s="1"/>
  <c r="E858" i="3"/>
  <c r="H858" i="3" s="1"/>
  <c r="K858" i="3" s="1"/>
  <c r="AE858" i="3" s="1"/>
  <c r="AG858" i="3"/>
  <c r="AH858" i="3"/>
  <c r="F858" i="3" l="1"/>
  <c r="V858" i="3"/>
  <c r="A859" i="3"/>
  <c r="B859" i="3" s="1"/>
  <c r="I858" i="3"/>
  <c r="J858" i="3"/>
  <c r="AD858" i="3" s="1"/>
  <c r="M858" i="3"/>
  <c r="N858" i="3" s="1"/>
  <c r="W858" i="3" l="1"/>
  <c r="L858" i="3"/>
  <c r="AC859" i="3"/>
  <c r="P859" i="3"/>
  <c r="Q859" i="3" s="1"/>
  <c r="R859" i="3" s="1"/>
  <c r="S859" i="3" s="1"/>
  <c r="AA859" i="3"/>
  <c r="Z859" i="3"/>
  <c r="U858" i="3" l="1"/>
  <c r="Y857" i="3"/>
  <c r="T859" i="3"/>
  <c r="D859" i="3" l="1"/>
  <c r="G859" i="3" s="1"/>
  <c r="AH859" i="3"/>
  <c r="AG859" i="3"/>
  <c r="E859" i="3"/>
  <c r="H859" i="3" s="1"/>
  <c r="K859" i="3" s="1"/>
  <c r="AE859" i="3" s="1"/>
  <c r="F859" i="3" l="1"/>
  <c r="I859" i="3"/>
  <c r="J859" i="3"/>
  <c r="AD859" i="3" s="1"/>
  <c r="M859" i="3"/>
  <c r="N859" i="3" s="1"/>
  <c r="V859" i="3"/>
  <c r="A860" i="3"/>
  <c r="B860" i="3" s="1"/>
  <c r="W859" i="3" l="1"/>
  <c r="AC860" i="3"/>
  <c r="Z860" i="3"/>
  <c r="AA860" i="3"/>
  <c r="P860" i="3"/>
  <c r="Q860" i="3" s="1"/>
  <c r="R860" i="3" s="1"/>
  <c r="S860" i="3" s="1"/>
  <c r="L859" i="3"/>
  <c r="T860" i="3" l="1"/>
  <c r="U859" i="3"/>
  <c r="Y858" i="3"/>
  <c r="D860" i="3" l="1"/>
  <c r="G860" i="3" s="1"/>
  <c r="AG860" i="3"/>
  <c r="AH860" i="3"/>
  <c r="E860" i="3"/>
  <c r="H860" i="3" s="1"/>
  <c r="I860" i="3" l="1"/>
  <c r="J860" i="3"/>
  <c r="AD860" i="3" s="1"/>
  <c r="M860" i="3"/>
  <c r="N860" i="3" s="1"/>
  <c r="K860" i="3"/>
  <c r="AE860" i="3" s="1"/>
  <c r="F860" i="3"/>
  <c r="L860" i="3" l="1"/>
  <c r="V860" i="3"/>
  <c r="W860" i="3" s="1"/>
  <c r="A861" i="3"/>
  <c r="B861" i="3" s="1"/>
  <c r="U860" i="3" l="1"/>
  <c r="Y859" i="3"/>
  <c r="Z861" i="3"/>
  <c r="P861" i="3"/>
  <c r="Q861" i="3" s="1"/>
  <c r="R861" i="3" s="1"/>
  <c r="S861" i="3" s="1"/>
  <c r="AC861" i="3"/>
  <c r="AA861" i="3"/>
  <c r="T861" i="3" l="1"/>
  <c r="E861" i="3" s="1"/>
  <c r="H861" i="3" s="1"/>
  <c r="K861" i="3" l="1"/>
  <c r="AE861" i="3" s="1"/>
  <c r="D861" i="3"/>
  <c r="AH861" i="3"/>
  <c r="AG861" i="3"/>
  <c r="F861" i="3" l="1"/>
  <c r="G861" i="3"/>
  <c r="V861" i="3"/>
  <c r="A862" i="3"/>
  <c r="B862" i="3" s="1"/>
  <c r="Z862" i="3" l="1"/>
  <c r="P862" i="3"/>
  <c r="Q862" i="3" s="1"/>
  <c r="R862" i="3" s="1"/>
  <c r="S862" i="3" s="1"/>
  <c r="AC862" i="3"/>
  <c r="AA862" i="3"/>
  <c r="I861" i="3"/>
  <c r="W861" i="3" s="1"/>
  <c r="J861" i="3"/>
  <c r="AD861" i="3" s="1"/>
  <c r="M861" i="3"/>
  <c r="N861" i="3" s="1"/>
  <c r="T862" i="3" l="1"/>
  <c r="L861" i="3"/>
  <c r="AH862" i="3" l="1"/>
  <c r="U861" i="3"/>
  <c r="D862" i="3" s="1"/>
  <c r="AG862" i="3"/>
  <c r="Y860" i="3"/>
  <c r="E862" i="3" l="1"/>
  <c r="H862" i="3" s="1"/>
  <c r="K862" i="3" s="1"/>
  <c r="AE862" i="3" s="1"/>
  <c r="G862" i="3"/>
  <c r="F862" i="3" l="1"/>
  <c r="I862" i="3"/>
  <c r="J862" i="3"/>
  <c r="AD862" i="3" s="1"/>
  <c r="M862" i="3"/>
  <c r="N862" i="3" s="1"/>
  <c r="V862" i="3"/>
  <c r="A863" i="3"/>
  <c r="B863" i="3" s="1"/>
  <c r="W862" i="3" l="1"/>
  <c r="L862" i="3"/>
  <c r="AA863" i="3"/>
  <c r="Z863" i="3"/>
  <c r="P863" i="3"/>
  <c r="Q863" i="3" s="1"/>
  <c r="R863" i="3" s="1"/>
  <c r="S863" i="3" s="1"/>
  <c r="AC863" i="3"/>
  <c r="T863" i="3" l="1"/>
  <c r="U862" i="3"/>
  <c r="Y861" i="3"/>
  <c r="E863" i="3" l="1"/>
  <c r="H863" i="3" s="1"/>
  <c r="K863" i="3" s="1"/>
  <c r="AE863" i="3" s="1"/>
  <c r="D863" i="3"/>
  <c r="G863" i="3" s="1"/>
  <c r="AH863" i="3"/>
  <c r="AG863" i="3"/>
  <c r="F863" i="3" l="1"/>
  <c r="I863" i="3"/>
  <c r="J863" i="3"/>
  <c r="AD863" i="3" s="1"/>
  <c r="M863" i="3"/>
  <c r="N863" i="3" s="1"/>
  <c r="V863" i="3"/>
  <c r="A864" i="3"/>
  <c r="B864" i="3" s="1"/>
  <c r="W863" i="3" l="1"/>
  <c r="L863" i="3"/>
  <c r="AC864" i="3"/>
  <c r="Z864" i="3"/>
  <c r="AA864" i="3"/>
  <c r="P864" i="3"/>
  <c r="Q864" i="3" s="1"/>
  <c r="R864" i="3" s="1"/>
  <c r="S864" i="3" s="1"/>
  <c r="U863" i="3" l="1"/>
  <c r="Y862" i="3"/>
  <c r="T864" i="3"/>
  <c r="AH864" i="3" s="1"/>
  <c r="E864" i="3" l="1"/>
  <c r="H864" i="3" s="1"/>
  <c r="D864" i="3"/>
  <c r="AG864" i="3"/>
  <c r="K864" i="3" l="1"/>
  <c r="AE864" i="3" s="1"/>
  <c r="F864" i="3"/>
  <c r="G864" i="3"/>
  <c r="I864" i="3" l="1"/>
  <c r="J864" i="3"/>
  <c r="AD864" i="3" s="1"/>
  <c r="M864" i="3"/>
  <c r="N864" i="3" s="1"/>
  <c r="V864" i="3"/>
  <c r="A865" i="3"/>
  <c r="B865" i="3" s="1"/>
  <c r="W864" i="3" l="1"/>
  <c r="L864" i="3"/>
  <c r="AD865" i="3"/>
  <c r="P865" i="3"/>
  <c r="Q865" i="3" s="1"/>
  <c r="R865" i="3" s="1"/>
  <c r="S865" i="3" s="1"/>
  <c r="AC865" i="3"/>
  <c r="Z865" i="3"/>
  <c r="AA865" i="3"/>
  <c r="U864" i="3" l="1"/>
  <c r="Y863" i="3"/>
  <c r="T865" i="3"/>
  <c r="AG865" i="3" s="1"/>
  <c r="E865" i="3" l="1"/>
  <c r="H865" i="3" s="1"/>
  <c r="K865" i="3" s="1"/>
  <c r="AE865" i="3" s="1"/>
  <c r="D865" i="3"/>
  <c r="G865" i="3" s="1"/>
  <c r="AH865" i="3"/>
  <c r="F865" i="3" l="1"/>
  <c r="V865" i="3"/>
  <c r="A866" i="3"/>
  <c r="B866" i="3" s="1"/>
  <c r="I865" i="3"/>
  <c r="J865" i="3"/>
  <c r="M865" i="3"/>
  <c r="N865" i="3" s="1"/>
  <c r="W865" i="3" l="1"/>
  <c r="L865" i="3"/>
  <c r="P866" i="3"/>
  <c r="Q866" i="3" s="1"/>
  <c r="R866" i="3" s="1"/>
  <c r="S866" i="3" s="1"/>
  <c r="AA866" i="3"/>
  <c r="Z866" i="3"/>
  <c r="AC866" i="3"/>
  <c r="AD866" i="3"/>
  <c r="T866" i="3" l="1"/>
  <c r="U865" i="3"/>
  <c r="Y864" i="3"/>
  <c r="D866" i="3" l="1"/>
  <c r="G866" i="3" s="1"/>
  <c r="AG866" i="3"/>
  <c r="AH866" i="3"/>
  <c r="E866" i="3"/>
  <c r="H866" i="3" s="1"/>
  <c r="F866" i="3" l="1"/>
  <c r="K866" i="3"/>
  <c r="AE866" i="3" s="1"/>
  <c r="I866" i="3"/>
  <c r="J866" i="3"/>
  <c r="M866" i="3"/>
  <c r="N866" i="3" s="1"/>
  <c r="L866" i="3" l="1"/>
  <c r="V866" i="3"/>
  <c r="W866" i="3" s="1"/>
  <c r="A867" i="3"/>
  <c r="B867" i="3" s="1"/>
  <c r="Z867" i="3" l="1"/>
  <c r="AA867" i="3"/>
  <c r="P867" i="3"/>
  <c r="Q867" i="3" s="1"/>
  <c r="R867" i="3" s="1"/>
  <c r="S867" i="3" s="1"/>
  <c r="AC867" i="3"/>
  <c r="AD867" i="3"/>
  <c r="U866" i="3"/>
  <c r="Y865" i="3"/>
  <c r="T867" i="3" l="1"/>
  <c r="D867" i="3" s="1"/>
  <c r="AG867" i="3" l="1"/>
  <c r="E867" i="3"/>
  <c r="H867" i="3" s="1"/>
  <c r="K867" i="3" s="1"/>
  <c r="AE867" i="3" s="1"/>
  <c r="AH867" i="3"/>
  <c r="G867" i="3"/>
  <c r="F867" i="3" l="1"/>
  <c r="I867" i="3"/>
  <c r="J867" i="3"/>
  <c r="M867" i="3"/>
  <c r="N867" i="3" s="1"/>
  <c r="V867" i="3"/>
  <c r="A868" i="3"/>
  <c r="B868" i="3" s="1"/>
  <c r="W867" i="3" l="1"/>
  <c r="L867" i="3"/>
  <c r="AD868" i="3"/>
  <c r="Z868" i="3"/>
  <c r="AA868" i="3"/>
  <c r="AC868" i="3"/>
  <c r="P868" i="3"/>
  <c r="Q868" i="3" s="1"/>
  <c r="R868" i="3" s="1"/>
  <c r="S868" i="3" s="1"/>
  <c r="T868" i="3" l="1"/>
  <c r="U867" i="3"/>
  <c r="Y866" i="3"/>
  <c r="E868" i="3" l="1"/>
  <c r="H868" i="3" s="1"/>
  <c r="K868" i="3" s="1"/>
  <c r="AE868" i="3" s="1"/>
  <c r="AH868" i="3"/>
  <c r="D868" i="3"/>
  <c r="G868" i="3" s="1"/>
  <c r="AG868" i="3"/>
  <c r="F868" i="3" l="1"/>
  <c r="I868" i="3"/>
  <c r="J868" i="3"/>
  <c r="M868" i="3"/>
  <c r="N868" i="3" s="1"/>
  <c r="V868" i="3"/>
  <c r="A869" i="3"/>
  <c r="B869" i="3" s="1"/>
  <c r="W868" i="3" l="1"/>
  <c r="L868" i="3"/>
  <c r="P869" i="3"/>
  <c r="Q869" i="3" s="1"/>
  <c r="R869" i="3" s="1"/>
  <c r="S869" i="3" s="1"/>
  <c r="Z869" i="3"/>
  <c r="AC869" i="3"/>
  <c r="AA869" i="3"/>
  <c r="AD869" i="3"/>
  <c r="T869" i="3" l="1"/>
  <c r="U868" i="3"/>
  <c r="Y867" i="3"/>
  <c r="E869" i="3" l="1"/>
  <c r="H869" i="3" s="1"/>
  <c r="K869" i="3" s="1"/>
  <c r="AE869" i="3" s="1"/>
  <c r="AG869" i="3"/>
  <c r="D869" i="3"/>
  <c r="AH869" i="3"/>
  <c r="V869" i="3" l="1"/>
  <c r="A870" i="3"/>
  <c r="B870" i="3" s="1"/>
  <c r="F869" i="3"/>
  <c r="G869" i="3"/>
  <c r="I869" i="3" l="1"/>
  <c r="W869" i="3" s="1"/>
  <c r="J869" i="3"/>
  <c r="M869" i="3"/>
  <c r="N869" i="3" s="1"/>
  <c r="AD870" i="3"/>
  <c r="Z870" i="3"/>
  <c r="AA870" i="3"/>
  <c r="P870" i="3"/>
  <c r="Q870" i="3" s="1"/>
  <c r="R870" i="3" s="1"/>
  <c r="S870" i="3" s="1"/>
  <c r="AC870" i="3"/>
  <c r="L869" i="3" l="1"/>
  <c r="T870" i="3"/>
  <c r="U869" i="3" l="1"/>
  <c r="E870" i="3" s="1"/>
  <c r="H870" i="3" s="1"/>
  <c r="AH870" i="3"/>
  <c r="AG870" i="3"/>
  <c r="Y868" i="3"/>
  <c r="D870" i="3" l="1"/>
  <c r="G870" i="3" s="1"/>
  <c r="K870" i="3"/>
  <c r="AE870" i="3" s="1"/>
  <c r="F870" i="3" l="1"/>
  <c r="V870" i="3"/>
  <c r="A871" i="3"/>
  <c r="B871" i="3" s="1"/>
  <c r="I870" i="3"/>
  <c r="J870" i="3"/>
  <c r="M870" i="3"/>
  <c r="N870" i="3" s="1"/>
  <c r="W870" i="3" l="1"/>
  <c r="L870" i="3"/>
  <c r="Z871" i="3"/>
  <c r="P871" i="3"/>
  <c r="Q871" i="3" s="1"/>
  <c r="R871" i="3" s="1"/>
  <c r="S871" i="3" s="1"/>
  <c r="AD871" i="3"/>
  <c r="AA871" i="3"/>
  <c r="AC871" i="3"/>
  <c r="T871" i="3" l="1"/>
  <c r="AH871" i="3" s="1"/>
  <c r="U870" i="3"/>
  <c r="Y869" i="3"/>
  <c r="E871" i="3" l="1"/>
  <c r="H871" i="3" s="1"/>
  <c r="K871" i="3" s="1"/>
  <c r="AE871" i="3" s="1"/>
  <c r="AG871" i="3"/>
  <c r="D871" i="3"/>
  <c r="F871" i="3" l="1"/>
  <c r="G871" i="3"/>
  <c r="V871" i="3"/>
  <c r="A872" i="3"/>
  <c r="B872" i="3" s="1"/>
  <c r="AC872" i="3" l="1"/>
  <c r="AA872" i="3"/>
  <c r="P872" i="3"/>
  <c r="Q872" i="3" s="1"/>
  <c r="R872" i="3" s="1"/>
  <c r="S872" i="3" s="1"/>
  <c r="Z872" i="3"/>
  <c r="AD872" i="3"/>
  <c r="I871" i="3"/>
  <c r="W871" i="3" s="1"/>
  <c r="J871" i="3"/>
  <c r="M871" i="3"/>
  <c r="N871" i="3" s="1"/>
  <c r="L871" i="3" l="1"/>
  <c r="T872" i="3"/>
  <c r="AG872" i="3" l="1"/>
  <c r="AH872" i="3"/>
  <c r="U871" i="3"/>
  <c r="E872" i="3" s="1"/>
  <c r="H872" i="3" s="1"/>
  <c r="Y870" i="3"/>
  <c r="D872" i="3" l="1"/>
  <c r="G872" i="3" s="1"/>
  <c r="K872" i="3"/>
  <c r="AE872" i="3" s="1"/>
  <c r="F872" i="3" l="1"/>
  <c r="I872" i="3"/>
  <c r="J872" i="3"/>
  <c r="M872" i="3"/>
  <c r="N872" i="3" s="1"/>
  <c r="V872" i="3"/>
  <c r="A873" i="3"/>
  <c r="B873" i="3" s="1"/>
  <c r="W872" i="3" l="1"/>
  <c r="L872" i="3"/>
  <c r="AA873" i="3"/>
  <c r="AC873" i="3"/>
  <c r="AD873" i="3"/>
  <c r="P873" i="3"/>
  <c r="Q873" i="3" s="1"/>
  <c r="R873" i="3" s="1"/>
  <c r="S873" i="3" s="1"/>
  <c r="Z873" i="3"/>
  <c r="T873" i="3" l="1"/>
  <c r="AH873" i="3" s="1"/>
  <c r="U872" i="3"/>
  <c r="Y871" i="3"/>
  <c r="AG873" i="3" l="1"/>
  <c r="E873" i="3"/>
  <c r="H873" i="3" s="1"/>
  <c r="D873" i="3"/>
  <c r="K873" i="3" l="1"/>
  <c r="AE873" i="3" s="1"/>
  <c r="F873" i="3"/>
  <c r="G873" i="3"/>
  <c r="I873" i="3" l="1"/>
  <c r="J873" i="3"/>
  <c r="M873" i="3"/>
  <c r="N873" i="3" s="1"/>
  <c r="V873" i="3"/>
  <c r="A874" i="3"/>
  <c r="B874" i="3" s="1"/>
  <c r="W873" i="3" l="1"/>
  <c r="L873" i="3"/>
  <c r="AA874" i="3"/>
  <c r="P874" i="3"/>
  <c r="Q874" i="3" s="1"/>
  <c r="R874" i="3" s="1"/>
  <c r="S874" i="3" s="1"/>
  <c r="Z874" i="3"/>
  <c r="AC874" i="3"/>
  <c r="T874" i="3" l="1"/>
  <c r="AH874" i="3" s="1"/>
  <c r="U873" i="3"/>
  <c r="Y872" i="3"/>
  <c r="E874" i="3" l="1"/>
  <c r="H874" i="3" s="1"/>
  <c r="D874" i="3"/>
  <c r="AG874" i="3"/>
  <c r="K874" i="3" l="1"/>
  <c r="AE874" i="3" s="1"/>
  <c r="F874" i="3"/>
  <c r="G874" i="3"/>
  <c r="I874" i="3" l="1"/>
  <c r="J874" i="3"/>
  <c r="AD874" i="3" s="1"/>
  <c r="M874" i="3"/>
  <c r="N874" i="3" s="1"/>
  <c r="V874" i="3"/>
  <c r="A875" i="3"/>
  <c r="B875" i="3" s="1"/>
  <c r="W874" i="3" l="1"/>
  <c r="L874" i="3"/>
  <c r="AA875" i="3"/>
  <c r="Z875" i="3"/>
  <c r="P875" i="3"/>
  <c r="Q875" i="3" s="1"/>
  <c r="R875" i="3" s="1"/>
  <c r="S875" i="3" s="1"/>
  <c r="AD875" i="3"/>
  <c r="AC875" i="3"/>
  <c r="T875" i="3" l="1"/>
  <c r="U874" i="3"/>
  <c r="Y873" i="3"/>
  <c r="D875" i="3" l="1"/>
  <c r="G875" i="3" s="1"/>
  <c r="E875" i="3"/>
  <c r="H875" i="3" s="1"/>
  <c r="K875" i="3" s="1"/>
  <c r="AE875" i="3" s="1"/>
  <c r="AH875" i="3"/>
  <c r="AG875" i="3"/>
  <c r="F875" i="3" l="1"/>
  <c r="V875" i="3"/>
  <c r="A876" i="3"/>
  <c r="B876" i="3" s="1"/>
  <c r="I875" i="3"/>
  <c r="J875" i="3"/>
  <c r="M875" i="3"/>
  <c r="N875" i="3" s="1"/>
  <c r="W875" i="3" l="1"/>
  <c r="L875" i="3"/>
  <c r="AC876" i="3"/>
  <c r="P876" i="3"/>
  <c r="Q876" i="3" s="1"/>
  <c r="R876" i="3" s="1"/>
  <c r="S876" i="3" s="1"/>
  <c r="Z876" i="3"/>
  <c r="AA876" i="3"/>
  <c r="AD876" i="3"/>
  <c r="U875" i="3" l="1"/>
  <c r="Y874" i="3"/>
  <c r="T876" i="3"/>
  <c r="AG876" i="3" s="1"/>
  <c r="D876" i="3" l="1"/>
  <c r="E876" i="3"/>
  <c r="H876" i="3" s="1"/>
  <c r="AH876" i="3"/>
  <c r="K876" i="3" l="1"/>
  <c r="AE876" i="3" s="1"/>
  <c r="F876" i="3"/>
  <c r="G876" i="3"/>
  <c r="I876" i="3" l="1"/>
  <c r="J876" i="3"/>
  <c r="M876" i="3"/>
  <c r="N876" i="3" s="1"/>
  <c r="V876" i="3"/>
  <c r="A877" i="3"/>
  <c r="B877" i="3" s="1"/>
  <c r="W876" i="3" l="1"/>
  <c r="L876" i="3"/>
  <c r="P877" i="3"/>
  <c r="Q877" i="3" s="1"/>
  <c r="R877" i="3" s="1"/>
  <c r="S877" i="3" s="1"/>
  <c r="AA877" i="3"/>
  <c r="Z877" i="3"/>
  <c r="AD877" i="3"/>
  <c r="AC877" i="3"/>
  <c r="U876" i="3" l="1"/>
  <c r="Y875" i="3"/>
  <c r="T877" i="3"/>
  <c r="D877" i="3" l="1"/>
  <c r="G877" i="3" s="1"/>
  <c r="AH877" i="3"/>
  <c r="AG877" i="3"/>
  <c r="E877" i="3"/>
  <c r="H877" i="3" s="1"/>
  <c r="I877" i="3" l="1"/>
  <c r="J877" i="3"/>
  <c r="M877" i="3"/>
  <c r="N877" i="3" s="1"/>
  <c r="K877" i="3"/>
  <c r="AE877" i="3" s="1"/>
  <c r="F877" i="3"/>
  <c r="V877" i="3" l="1"/>
  <c r="W877" i="3" s="1"/>
  <c r="A878" i="3"/>
  <c r="B878" i="3" s="1"/>
  <c r="L877" i="3"/>
  <c r="U877" i="3" l="1"/>
  <c r="Y876" i="3"/>
  <c r="Z878" i="3"/>
  <c r="AD878" i="3"/>
  <c r="AC878" i="3"/>
  <c r="AA878" i="3"/>
  <c r="P878" i="3"/>
  <c r="Q878" i="3" s="1"/>
  <c r="R878" i="3" s="1"/>
  <c r="S878" i="3" s="1"/>
  <c r="T878" i="3" l="1"/>
  <c r="E878" i="3" s="1"/>
  <c r="H878" i="3" s="1"/>
  <c r="D878" i="3" l="1"/>
  <c r="G878" i="3" s="1"/>
  <c r="AG878" i="3"/>
  <c r="AH878" i="3"/>
  <c r="K878" i="3"/>
  <c r="AE878" i="3" s="1"/>
  <c r="F878" i="3" l="1"/>
  <c r="I878" i="3"/>
  <c r="J878" i="3"/>
  <c r="M878" i="3"/>
  <c r="N878" i="3" s="1"/>
  <c r="V878" i="3"/>
  <c r="A879" i="3"/>
  <c r="B879" i="3" s="1"/>
  <c r="W878" i="3" l="1"/>
  <c r="L878" i="3"/>
  <c r="AC879" i="3"/>
  <c r="AD879" i="3"/>
  <c r="P879" i="3"/>
  <c r="Q879" i="3" s="1"/>
  <c r="R879" i="3" s="1"/>
  <c r="S879" i="3" s="1"/>
  <c r="AA879" i="3"/>
  <c r="Z879" i="3"/>
  <c r="T879" i="3" l="1"/>
  <c r="AG879" i="3" s="1"/>
  <c r="U878" i="3"/>
  <c r="Y877" i="3"/>
  <c r="E879" i="3" l="1"/>
  <c r="H879" i="3" s="1"/>
  <c r="D879" i="3"/>
  <c r="AH879" i="3"/>
  <c r="F879" i="3" l="1"/>
  <c r="G879" i="3"/>
  <c r="K879" i="3"/>
  <c r="AE879" i="3" s="1"/>
  <c r="I879" i="3" l="1"/>
  <c r="J879" i="3"/>
  <c r="M879" i="3"/>
  <c r="N879" i="3" s="1"/>
  <c r="V879" i="3"/>
  <c r="A880" i="3"/>
  <c r="B880" i="3" s="1"/>
  <c r="W879" i="3" l="1"/>
  <c r="L879" i="3"/>
  <c r="AD880" i="3"/>
  <c r="AA880" i="3"/>
  <c r="AC880" i="3"/>
  <c r="Z880" i="3"/>
  <c r="P880" i="3"/>
  <c r="Q880" i="3" s="1"/>
  <c r="R880" i="3" s="1"/>
  <c r="S880" i="3" s="1"/>
  <c r="T880" i="3" l="1"/>
  <c r="AG880" i="3" s="1"/>
  <c r="U879" i="3"/>
  <c r="Y878" i="3"/>
  <c r="D880" i="3" l="1"/>
  <c r="AH880" i="3"/>
  <c r="E880" i="3"/>
  <c r="H880" i="3" s="1"/>
  <c r="F880" i="3" l="1"/>
  <c r="G880" i="3"/>
  <c r="K880" i="3"/>
  <c r="AE880" i="3" s="1"/>
  <c r="V880" i="3" l="1"/>
  <c r="A881" i="3"/>
  <c r="B881" i="3" s="1"/>
  <c r="I880" i="3"/>
  <c r="J880" i="3"/>
  <c r="M880" i="3"/>
  <c r="N880" i="3" s="1"/>
  <c r="W880" i="3" l="1"/>
  <c r="L880" i="3"/>
  <c r="AA881" i="3"/>
  <c r="AD881" i="3"/>
  <c r="P881" i="3"/>
  <c r="Q881" i="3" s="1"/>
  <c r="R881" i="3" s="1"/>
  <c r="S881" i="3" s="1"/>
  <c r="Z881" i="3"/>
  <c r="AC881" i="3"/>
  <c r="U880" i="3" l="1"/>
  <c r="Y879" i="3"/>
  <c r="T881" i="3"/>
  <c r="E881" i="3" l="1"/>
  <c r="H881" i="3" s="1"/>
  <c r="K881" i="3" s="1"/>
  <c r="AE881" i="3" s="1"/>
  <c r="D881" i="3"/>
  <c r="AG881" i="3"/>
  <c r="AH881" i="3"/>
  <c r="F881" i="3" l="1"/>
  <c r="G881" i="3"/>
  <c r="I881" i="3" s="1"/>
  <c r="V881" i="3"/>
  <c r="A882" i="3"/>
  <c r="B882" i="3" s="1"/>
  <c r="W881" i="3" l="1"/>
  <c r="M881" i="3"/>
  <c r="N881" i="3" s="1"/>
  <c r="J881" i="3"/>
  <c r="L881" i="3" s="1"/>
  <c r="Z882" i="3"/>
  <c r="P882" i="3"/>
  <c r="Q882" i="3" s="1"/>
  <c r="R882" i="3" s="1"/>
  <c r="S882" i="3" s="1"/>
  <c r="AD882" i="3"/>
  <c r="AC882" i="3"/>
  <c r="AA882" i="3"/>
  <c r="T882" i="3" l="1"/>
  <c r="AG882" i="3" s="1"/>
  <c r="U881" i="3"/>
  <c r="Y880" i="3"/>
  <c r="AH882" i="3" l="1"/>
  <c r="D882" i="3"/>
  <c r="E882" i="3"/>
  <c r="H882" i="3" s="1"/>
  <c r="F882" i="3" l="1"/>
  <c r="G882" i="3"/>
  <c r="K882" i="3"/>
  <c r="AE882" i="3" s="1"/>
  <c r="I882" i="3" l="1"/>
  <c r="J882" i="3"/>
  <c r="M882" i="3"/>
  <c r="N882" i="3" s="1"/>
  <c r="V882" i="3"/>
  <c r="A883" i="3"/>
  <c r="B883" i="3" s="1"/>
  <c r="W882" i="3" l="1"/>
  <c r="L882" i="3"/>
  <c r="AC883" i="3"/>
  <c r="AA883" i="3"/>
  <c r="Z883" i="3"/>
  <c r="AD883" i="3"/>
  <c r="P883" i="3"/>
  <c r="Q883" i="3" s="1"/>
  <c r="R883" i="3" s="1"/>
  <c r="S883" i="3" s="1"/>
  <c r="T883" i="3" l="1"/>
  <c r="AG883" i="3" s="1"/>
  <c r="U882" i="3"/>
  <c r="Y881" i="3"/>
  <c r="E883" i="3" l="1"/>
  <c r="H883" i="3" s="1"/>
  <c r="K883" i="3" s="1"/>
  <c r="AE883" i="3" s="1"/>
  <c r="D883" i="3"/>
  <c r="AH883" i="3"/>
  <c r="V883" i="3" l="1"/>
  <c r="A884" i="3"/>
  <c r="B884" i="3" s="1"/>
  <c r="F883" i="3"/>
  <c r="G883" i="3"/>
  <c r="I883" i="3" l="1"/>
  <c r="W883" i="3" s="1"/>
  <c r="J883" i="3"/>
  <c r="M883" i="3"/>
  <c r="N883" i="3" s="1"/>
  <c r="AA884" i="3"/>
  <c r="Z884" i="3"/>
  <c r="P884" i="3"/>
  <c r="Q884" i="3" s="1"/>
  <c r="R884" i="3" s="1"/>
  <c r="S884" i="3" s="1"/>
  <c r="AC884" i="3"/>
  <c r="T884" i="3" l="1"/>
  <c r="L883" i="3"/>
  <c r="AG884" i="3" l="1"/>
  <c r="U883" i="3"/>
  <c r="D884" i="3" s="1"/>
  <c r="AH884" i="3"/>
  <c r="Y882" i="3"/>
  <c r="E884" i="3" l="1"/>
  <c r="H884" i="3" s="1"/>
  <c r="K884" i="3" s="1"/>
  <c r="AE884" i="3" s="1"/>
  <c r="G884" i="3"/>
  <c r="F884" i="3" l="1"/>
  <c r="V884" i="3"/>
  <c r="A885" i="3"/>
  <c r="B885" i="3" s="1"/>
  <c r="I884" i="3"/>
  <c r="J884" i="3"/>
  <c r="AD884" i="3" s="1"/>
  <c r="M884" i="3"/>
  <c r="N884" i="3" s="1"/>
  <c r="W884" i="3" l="1"/>
  <c r="L884" i="3"/>
  <c r="P885" i="3"/>
  <c r="Q885" i="3" s="1"/>
  <c r="R885" i="3" s="1"/>
  <c r="S885" i="3" s="1"/>
  <c r="AD885" i="3"/>
  <c r="Z885" i="3"/>
  <c r="AC885" i="3"/>
  <c r="AA885" i="3"/>
  <c r="U884" i="3" l="1"/>
  <c r="Y883" i="3"/>
  <c r="T885" i="3"/>
  <c r="AH885" i="3" s="1"/>
  <c r="D885" i="3" l="1"/>
  <c r="G885" i="3" s="1"/>
  <c r="E885" i="3"/>
  <c r="H885" i="3" s="1"/>
  <c r="K885" i="3" s="1"/>
  <c r="AE885" i="3" s="1"/>
  <c r="AG885" i="3"/>
  <c r="F885" i="3" l="1"/>
  <c r="V885" i="3"/>
  <c r="A886" i="3"/>
  <c r="B886" i="3" s="1"/>
  <c r="I885" i="3"/>
  <c r="J885" i="3"/>
  <c r="M885" i="3"/>
  <c r="N885" i="3" s="1"/>
  <c r="W885" i="3" l="1"/>
  <c r="L885" i="3"/>
  <c r="P886" i="3"/>
  <c r="Q886" i="3" s="1"/>
  <c r="R886" i="3" s="1"/>
  <c r="S886" i="3" s="1"/>
  <c r="AA886" i="3"/>
  <c r="AC886" i="3"/>
  <c r="AD886" i="3"/>
  <c r="Z886" i="3"/>
  <c r="U885" i="3" l="1"/>
  <c r="Y884" i="3"/>
  <c r="T886" i="3"/>
  <c r="E886" i="3" l="1"/>
  <c r="H886" i="3" s="1"/>
  <c r="K886" i="3" s="1"/>
  <c r="AE886" i="3" s="1"/>
  <c r="AH886" i="3"/>
  <c r="AG886" i="3"/>
  <c r="D886" i="3"/>
  <c r="F886" i="3" l="1"/>
  <c r="G886" i="3"/>
  <c r="V886" i="3"/>
  <c r="A887" i="3"/>
  <c r="B887" i="3" s="1"/>
  <c r="I886" i="3" l="1"/>
  <c r="W886" i="3" s="1"/>
  <c r="J886" i="3"/>
  <c r="M886" i="3"/>
  <c r="N886" i="3" s="1"/>
  <c r="P887" i="3"/>
  <c r="Q887" i="3" s="1"/>
  <c r="R887" i="3" s="1"/>
  <c r="S887" i="3" s="1"/>
  <c r="Z887" i="3"/>
  <c r="AD887" i="3"/>
  <c r="AA887" i="3"/>
  <c r="AC887" i="3"/>
  <c r="T887" i="3" l="1"/>
  <c r="L886" i="3"/>
  <c r="AG887" i="3" l="1"/>
  <c r="AH887" i="3"/>
  <c r="U886" i="3"/>
  <c r="D887" i="3" s="1"/>
  <c r="Y885" i="3"/>
  <c r="E887" i="3" l="1"/>
  <c r="H887" i="3" s="1"/>
  <c r="K887" i="3" s="1"/>
  <c r="AE887" i="3" s="1"/>
  <c r="G887" i="3"/>
  <c r="F887" i="3" l="1"/>
  <c r="I887" i="3"/>
  <c r="J887" i="3"/>
  <c r="M887" i="3"/>
  <c r="N887" i="3" s="1"/>
  <c r="V887" i="3"/>
  <c r="A888" i="3"/>
  <c r="B888" i="3" s="1"/>
  <c r="W887" i="3" l="1"/>
  <c r="L887" i="3"/>
  <c r="AC888" i="3"/>
  <c r="AD888" i="3"/>
  <c r="AA888" i="3"/>
  <c r="Z888" i="3"/>
  <c r="P888" i="3"/>
  <c r="Q888" i="3" s="1"/>
  <c r="R888" i="3" s="1"/>
  <c r="S888" i="3" s="1"/>
  <c r="T888" i="3" l="1"/>
  <c r="U887" i="3"/>
  <c r="Y886" i="3"/>
  <c r="E888" i="3" l="1"/>
  <c r="H888" i="3" s="1"/>
  <c r="K888" i="3" s="1"/>
  <c r="AE888" i="3" s="1"/>
  <c r="D888" i="3"/>
  <c r="G888" i="3" s="1"/>
  <c r="AG888" i="3"/>
  <c r="AH888" i="3"/>
  <c r="F888" i="3" l="1"/>
  <c r="I888" i="3"/>
  <c r="J888" i="3"/>
  <c r="M888" i="3"/>
  <c r="N888" i="3" s="1"/>
  <c r="V888" i="3"/>
  <c r="A889" i="3"/>
  <c r="B889" i="3" s="1"/>
  <c r="W888" i="3" l="1"/>
  <c r="L888" i="3"/>
  <c r="AA889" i="3"/>
  <c r="Z889" i="3"/>
  <c r="AD889" i="3"/>
  <c r="P889" i="3"/>
  <c r="Q889" i="3" s="1"/>
  <c r="R889" i="3" s="1"/>
  <c r="S889" i="3" s="1"/>
  <c r="AC889" i="3"/>
  <c r="T889" i="3" l="1"/>
  <c r="AG889" i="3" s="1"/>
  <c r="U888" i="3"/>
  <c r="Y887" i="3"/>
  <c r="AH889" i="3" l="1"/>
  <c r="D889" i="3"/>
  <c r="G889" i="3" s="1"/>
  <c r="E889" i="3"/>
  <c r="H889" i="3" s="1"/>
  <c r="I889" i="3" l="1"/>
  <c r="J889" i="3"/>
  <c r="M889" i="3"/>
  <c r="N889" i="3" s="1"/>
  <c r="K889" i="3"/>
  <c r="AE889" i="3" s="1"/>
  <c r="F889" i="3"/>
  <c r="L889" i="3" l="1"/>
  <c r="V889" i="3"/>
  <c r="W889" i="3" s="1"/>
  <c r="A890" i="3"/>
  <c r="B890" i="3" s="1"/>
  <c r="AA890" i="3" l="1"/>
  <c r="P890" i="3"/>
  <c r="Q890" i="3" s="1"/>
  <c r="R890" i="3" s="1"/>
  <c r="S890" i="3" s="1"/>
  <c r="Z890" i="3"/>
  <c r="AC890" i="3"/>
  <c r="AD890" i="3"/>
  <c r="U889" i="3"/>
  <c r="Y888" i="3"/>
  <c r="T890" i="3" l="1"/>
  <c r="AG890" i="3" s="1"/>
  <c r="E890" i="3" l="1"/>
  <c r="H890" i="3" s="1"/>
  <c r="K890" i="3" s="1"/>
  <c r="AE890" i="3" s="1"/>
  <c r="AH890" i="3"/>
  <c r="D890" i="3"/>
  <c r="F890" i="3" l="1"/>
  <c r="G890" i="3"/>
  <c r="V890" i="3"/>
  <c r="A891" i="3"/>
  <c r="B891" i="3" s="1"/>
  <c r="AD891" i="3" l="1"/>
  <c r="P891" i="3"/>
  <c r="Q891" i="3" s="1"/>
  <c r="R891" i="3" s="1"/>
  <c r="S891" i="3" s="1"/>
  <c r="AC891" i="3"/>
  <c r="Z891" i="3"/>
  <c r="AA891" i="3"/>
  <c r="I890" i="3"/>
  <c r="W890" i="3" s="1"/>
  <c r="J890" i="3"/>
  <c r="M890" i="3"/>
  <c r="N890" i="3" s="1"/>
  <c r="L890" i="3" l="1"/>
  <c r="T891" i="3"/>
  <c r="U890" i="3" l="1"/>
  <c r="D891" i="3" s="1"/>
  <c r="AH891" i="3"/>
  <c r="AG891" i="3"/>
  <c r="Y889" i="3"/>
  <c r="E891" i="3" l="1"/>
  <c r="H891" i="3" s="1"/>
  <c r="K891" i="3" s="1"/>
  <c r="AE891" i="3" s="1"/>
  <c r="G891" i="3"/>
  <c r="F891" i="3" l="1"/>
  <c r="I891" i="3"/>
  <c r="J891" i="3"/>
  <c r="M891" i="3"/>
  <c r="N891" i="3" s="1"/>
  <c r="V891" i="3"/>
  <c r="A892" i="3"/>
  <c r="B892" i="3" s="1"/>
  <c r="W891" i="3" l="1"/>
  <c r="L891" i="3"/>
  <c r="P892" i="3"/>
  <c r="Q892" i="3" s="1"/>
  <c r="R892" i="3" s="1"/>
  <c r="S892" i="3" s="1"/>
  <c r="AC892" i="3"/>
  <c r="AD892" i="3"/>
  <c r="Z892" i="3"/>
  <c r="AA892" i="3"/>
  <c r="U891" i="3" l="1"/>
  <c r="Y890" i="3"/>
  <c r="T892" i="3"/>
  <c r="AG892" i="3" s="1"/>
  <c r="AH892" i="3" l="1"/>
  <c r="D892" i="3"/>
  <c r="G892" i="3" s="1"/>
  <c r="E892" i="3"/>
  <c r="H892" i="3" s="1"/>
  <c r="F892" i="3" l="1"/>
  <c r="I892" i="3"/>
  <c r="J892" i="3"/>
  <c r="M892" i="3"/>
  <c r="N892" i="3" s="1"/>
  <c r="K892" i="3"/>
  <c r="AE892" i="3" s="1"/>
  <c r="V892" i="3" l="1"/>
  <c r="W892" i="3" s="1"/>
  <c r="A893" i="3"/>
  <c r="B893" i="3" s="1"/>
  <c r="L892" i="3"/>
  <c r="U892" i="3" l="1"/>
  <c r="Y891" i="3"/>
  <c r="AC893" i="3"/>
  <c r="P893" i="3"/>
  <c r="Q893" i="3" s="1"/>
  <c r="R893" i="3" s="1"/>
  <c r="S893" i="3" s="1"/>
  <c r="AD893" i="3"/>
  <c r="AA893" i="3"/>
  <c r="Z893" i="3"/>
  <c r="T893" i="3" l="1"/>
  <c r="E893" i="3" s="1"/>
  <c r="H893" i="3" s="1"/>
  <c r="AH893" i="3" l="1"/>
  <c r="D893" i="3"/>
  <c r="F893" i="3" s="1"/>
  <c r="AG893" i="3"/>
  <c r="K893" i="3"/>
  <c r="AE893" i="3" s="1"/>
  <c r="G893" i="3" l="1"/>
  <c r="M893" i="3" s="1"/>
  <c r="N893" i="3" s="1"/>
  <c r="V893" i="3"/>
  <c r="A894" i="3"/>
  <c r="B894" i="3" s="1"/>
  <c r="I893" i="3" l="1"/>
  <c r="W893" i="3" s="1"/>
  <c r="J893" i="3"/>
  <c r="L893" i="3" s="1"/>
  <c r="Z894" i="3"/>
  <c r="P894" i="3"/>
  <c r="Q894" i="3" s="1"/>
  <c r="R894" i="3" s="1"/>
  <c r="S894" i="3" s="1"/>
  <c r="AC894" i="3"/>
  <c r="AA894" i="3"/>
  <c r="U893" i="3" l="1"/>
  <c r="Y892" i="3"/>
  <c r="T894" i="3"/>
  <c r="AH894" i="3" s="1"/>
  <c r="D894" i="3" l="1"/>
  <c r="G894" i="3" s="1"/>
  <c r="AG894" i="3"/>
  <c r="E894" i="3"/>
  <c r="H894" i="3" s="1"/>
  <c r="F894" i="3" l="1"/>
  <c r="I894" i="3"/>
  <c r="J894" i="3"/>
  <c r="AD894" i="3" s="1"/>
  <c r="M894" i="3"/>
  <c r="N894" i="3" s="1"/>
  <c r="K894" i="3"/>
  <c r="AE894" i="3" s="1"/>
  <c r="V894" i="3" l="1"/>
  <c r="W894" i="3" s="1"/>
  <c r="A895" i="3"/>
  <c r="B895" i="3" s="1"/>
  <c r="L894" i="3"/>
  <c r="U894" i="3" l="1"/>
  <c r="Y893" i="3"/>
  <c r="AD895" i="3"/>
  <c r="P895" i="3"/>
  <c r="Q895" i="3" s="1"/>
  <c r="R895" i="3" s="1"/>
  <c r="S895" i="3" s="1"/>
  <c r="AA895" i="3"/>
  <c r="AC895" i="3"/>
  <c r="Z895" i="3"/>
  <c r="T895" i="3" l="1"/>
  <c r="AH895" i="3" s="1"/>
  <c r="E895" i="3" l="1"/>
  <c r="H895" i="3" s="1"/>
  <c r="K895" i="3" s="1"/>
  <c r="AE895" i="3" s="1"/>
  <c r="D895" i="3"/>
  <c r="AG895" i="3"/>
  <c r="F895" i="3" l="1"/>
  <c r="G895" i="3"/>
  <c r="V895" i="3"/>
  <c r="A896" i="3"/>
  <c r="B896" i="3" s="1"/>
  <c r="I895" i="3" l="1"/>
  <c r="W895" i="3" s="1"/>
  <c r="J895" i="3"/>
  <c r="M895" i="3"/>
  <c r="N895" i="3" s="1"/>
  <c r="Z896" i="3"/>
  <c r="P896" i="3"/>
  <c r="Q896" i="3" s="1"/>
  <c r="R896" i="3" s="1"/>
  <c r="S896" i="3" s="1"/>
  <c r="AC896" i="3"/>
  <c r="AD896" i="3"/>
  <c r="AA896" i="3"/>
  <c r="T896" i="3" l="1"/>
  <c r="L895" i="3"/>
  <c r="AG896" i="3" l="1"/>
  <c r="AH896" i="3"/>
  <c r="U895" i="3"/>
  <c r="E896" i="3" s="1"/>
  <c r="H896" i="3" s="1"/>
  <c r="Y894" i="3"/>
  <c r="D896" i="3" l="1"/>
  <c r="G896" i="3" s="1"/>
  <c r="K896" i="3"/>
  <c r="AE896" i="3" s="1"/>
  <c r="F896" i="3" l="1"/>
  <c r="V896" i="3"/>
  <c r="A897" i="3"/>
  <c r="B897" i="3" s="1"/>
  <c r="I896" i="3"/>
  <c r="J896" i="3"/>
  <c r="M896" i="3"/>
  <c r="N896" i="3" s="1"/>
  <c r="W896" i="3" l="1"/>
  <c r="L896" i="3"/>
  <c r="Z897" i="3"/>
  <c r="AC897" i="3"/>
  <c r="AA897" i="3"/>
  <c r="P897" i="3"/>
  <c r="Q897" i="3" s="1"/>
  <c r="R897" i="3" s="1"/>
  <c r="S897" i="3" s="1"/>
  <c r="AD897" i="3"/>
  <c r="U896" i="3" l="1"/>
  <c r="Y895" i="3"/>
  <c r="T897" i="3"/>
  <c r="D897" i="3" l="1"/>
  <c r="E897" i="3"/>
  <c r="H897" i="3" s="1"/>
  <c r="AH897" i="3"/>
  <c r="AG897" i="3"/>
  <c r="F897" i="3" l="1"/>
  <c r="G897" i="3"/>
  <c r="M897" i="3" s="1"/>
  <c r="N897" i="3" s="1"/>
  <c r="K897" i="3"/>
  <c r="AE897" i="3" s="1"/>
  <c r="I897" i="3" l="1"/>
  <c r="J897" i="3"/>
  <c r="L897" i="3" s="1"/>
  <c r="V897" i="3"/>
  <c r="A898" i="3"/>
  <c r="B898" i="3" s="1"/>
  <c r="W897" i="3" l="1"/>
  <c r="AA898" i="3"/>
  <c r="AD898" i="3"/>
  <c r="P898" i="3"/>
  <c r="Q898" i="3" s="1"/>
  <c r="R898" i="3" s="1"/>
  <c r="S898" i="3" s="1"/>
  <c r="Z898" i="3"/>
  <c r="AC898" i="3"/>
  <c r="U897" i="3"/>
  <c r="Y896" i="3"/>
  <c r="T898" i="3" l="1"/>
  <c r="D898" i="3" s="1"/>
  <c r="G898" i="3" l="1"/>
  <c r="AG898" i="3"/>
  <c r="E898" i="3"/>
  <c r="H898" i="3" s="1"/>
  <c r="AH898" i="3"/>
  <c r="F898" i="3" l="1"/>
  <c r="I898" i="3"/>
  <c r="J898" i="3"/>
  <c r="M898" i="3"/>
  <c r="N898" i="3" s="1"/>
  <c r="K898" i="3"/>
  <c r="AE898" i="3" s="1"/>
  <c r="V898" i="3" l="1"/>
  <c r="W898" i="3" s="1"/>
  <c r="A899" i="3"/>
  <c r="B899" i="3" s="1"/>
  <c r="L898" i="3"/>
  <c r="U898" i="3" l="1"/>
  <c r="Y897" i="3"/>
  <c r="AC899" i="3"/>
  <c r="Z899" i="3"/>
  <c r="P899" i="3"/>
  <c r="Q899" i="3" s="1"/>
  <c r="R899" i="3" s="1"/>
  <c r="S899" i="3" s="1"/>
  <c r="AD899" i="3"/>
  <c r="AA899" i="3"/>
  <c r="T899" i="3" l="1"/>
  <c r="E899" i="3" s="1"/>
  <c r="H899" i="3" s="1"/>
  <c r="D899" i="3" l="1"/>
  <c r="G899" i="3" s="1"/>
  <c r="AG899" i="3"/>
  <c r="AH899" i="3"/>
  <c r="K899" i="3"/>
  <c r="AE899" i="3" s="1"/>
  <c r="F899" i="3" l="1"/>
  <c r="I899" i="3"/>
  <c r="J899" i="3"/>
  <c r="M899" i="3"/>
  <c r="N899" i="3" s="1"/>
  <c r="V899" i="3"/>
  <c r="A900" i="3"/>
  <c r="B900" i="3" s="1"/>
  <c r="W899" i="3" l="1"/>
  <c r="L899" i="3"/>
  <c r="P900" i="3"/>
  <c r="Q900" i="3" s="1"/>
  <c r="R900" i="3" s="1"/>
  <c r="S900" i="3" s="1"/>
  <c r="AC900" i="3"/>
  <c r="Z900" i="3"/>
  <c r="AD900" i="3"/>
  <c r="AA900" i="3"/>
  <c r="U899" i="3" l="1"/>
  <c r="Y898" i="3"/>
  <c r="T900" i="3"/>
  <c r="D900" i="3" l="1"/>
  <c r="G900" i="3" s="1"/>
  <c r="AH900" i="3"/>
  <c r="AG900" i="3"/>
  <c r="E900" i="3"/>
  <c r="H900" i="3" s="1"/>
  <c r="K900" i="3" s="1"/>
  <c r="AE900" i="3" s="1"/>
  <c r="F900" i="3" l="1"/>
  <c r="V900" i="3"/>
  <c r="A901" i="3"/>
  <c r="B901" i="3" s="1"/>
  <c r="I900" i="3"/>
  <c r="J900" i="3"/>
  <c r="M900" i="3"/>
  <c r="N900" i="3" s="1"/>
  <c r="L900" i="3" l="1"/>
  <c r="W900" i="3"/>
  <c r="AD901" i="3"/>
  <c r="P901" i="3"/>
  <c r="Q901" i="3" s="1"/>
  <c r="R901" i="3" s="1"/>
  <c r="S901" i="3" s="1"/>
  <c r="AA901" i="3"/>
  <c r="AC901" i="3"/>
  <c r="Z901" i="3"/>
  <c r="U900" i="3" l="1"/>
  <c r="Y899" i="3"/>
  <c r="T901" i="3"/>
  <c r="E901" i="3" l="1"/>
  <c r="H901" i="3" s="1"/>
  <c r="K901" i="3" s="1"/>
  <c r="AE901" i="3" s="1"/>
  <c r="AG901" i="3"/>
  <c r="D901" i="3"/>
  <c r="AH901" i="3"/>
  <c r="F901" i="3" l="1"/>
  <c r="G901" i="3"/>
  <c r="V901" i="3"/>
  <c r="A902" i="3"/>
  <c r="B902" i="3" s="1"/>
  <c r="AD902" i="3" l="1"/>
  <c r="AC902" i="3"/>
  <c r="P902" i="3"/>
  <c r="Q902" i="3" s="1"/>
  <c r="R902" i="3" s="1"/>
  <c r="S902" i="3" s="1"/>
  <c r="Z902" i="3"/>
  <c r="AA902" i="3"/>
  <c r="I901" i="3"/>
  <c r="W901" i="3" s="1"/>
  <c r="J901" i="3"/>
  <c r="M901" i="3"/>
  <c r="N901" i="3" s="1"/>
  <c r="T902" i="3" l="1"/>
  <c r="L901" i="3"/>
  <c r="U901" i="3" l="1"/>
  <c r="E902" i="3" s="1"/>
  <c r="H902" i="3" s="1"/>
  <c r="AH902" i="3"/>
  <c r="AG902" i="3"/>
  <c r="Y900" i="3"/>
  <c r="D902" i="3" l="1"/>
  <c r="F902" i="3" s="1"/>
  <c r="K902" i="3"/>
  <c r="AE902" i="3" s="1"/>
  <c r="G902" i="3" l="1"/>
  <c r="J902" i="3" s="1"/>
  <c r="V902" i="3"/>
  <c r="A903" i="3"/>
  <c r="B903" i="3" s="1"/>
  <c r="M902" i="3" l="1"/>
  <c r="N902" i="3" s="1"/>
  <c r="I902" i="3"/>
  <c r="W902" i="3" s="1"/>
  <c r="L902" i="3"/>
  <c r="Z903" i="3"/>
  <c r="AC903" i="3"/>
  <c r="P903" i="3"/>
  <c r="Q903" i="3" s="1"/>
  <c r="R903" i="3" s="1"/>
  <c r="S903" i="3" s="1"/>
  <c r="AD903" i="3"/>
  <c r="AA903" i="3"/>
  <c r="T903" i="3" l="1"/>
  <c r="AH903" i="3" s="1"/>
  <c r="U902" i="3"/>
  <c r="Y901" i="3"/>
  <c r="D903" i="3" l="1"/>
  <c r="E903" i="3"/>
  <c r="H903" i="3" s="1"/>
  <c r="AG903" i="3"/>
  <c r="K903" i="3" l="1"/>
  <c r="AE903" i="3" s="1"/>
  <c r="F903" i="3"/>
  <c r="G903" i="3"/>
  <c r="I903" i="3" l="1"/>
  <c r="J903" i="3"/>
  <c r="M903" i="3"/>
  <c r="N903" i="3" s="1"/>
  <c r="V903" i="3"/>
  <c r="A904" i="3"/>
  <c r="B904" i="3" s="1"/>
  <c r="W903" i="3" l="1"/>
  <c r="L903" i="3"/>
  <c r="AC904" i="3"/>
  <c r="Z904" i="3"/>
  <c r="P904" i="3"/>
  <c r="Q904" i="3" s="1"/>
  <c r="R904" i="3" s="1"/>
  <c r="S904" i="3" s="1"/>
  <c r="AA904" i="3"/>
  <c r="U903" i="3" l="1"/>
  <c r="Y902" i="3"/>
  <c r="T904" i="3"/>
  <c r="AH904" i="3" s="1"/>
  <c r="E904" i="3" l="1"/>
  <c r="H904" i="3" s="1"/>
  <c r="AG904" i="3"/>
  <c r="D904" i="3"/>
  <c r="K904" i="3" l="1"/>
  <c r="AE904" i="3" s="1"/>
  <c r="F904" i="3"/>
  <c r="G904" i="3"/>
  <c r="V904" i="3" l="1"/>
  <c r="A905" i="3"/>
  <c r="B905" i="3" s="1"/>
  <c r="I904" i="3"/>
  <c r="J904" i="3"/>
  <c r="AD904" i="3" s="1"/>
  <c r="M904" i="3"/>
  <c r="N904" i="3" s="1"/>
  <c r="L904" i="3" l="1"/>
  <c r="W904" i="3"/>
  <c r="AA905" i="3"/>
  <c r="Z905" i="3"/>
  <c r="AD905" i="3"/>
  <c r="AC905" i="3"/>
  <c r="P905" i="3"/>
  <c r="Q905" i="3" s="1"/>
  <c r="R905" i="3" s="1"/>
  <c r="S905" i="3" s="1"/>
  <c r="U904" i="3" l="1"/>
  <c r="Y903" i="3"/>
  <c r="T905" i="3"/>
  <c r="D905" i="3" l="1"/>
  <c r="G905" i="3" s="1"/>
  <c r="E905" i="3"/>
  <c r="H905" i="3" s="1"/>
  <c r="K905" i="3" s="1"/>
  <c r="AE905" i="3" s="1"/>
  <c r="AG905" i="3"/>
  <c r="AH905" i="3"/>
  <c r="F905" i="3" l="1"/>
  <c r="I905" i="3"/>
  <c r="J905" i="3"/>
  <c r="M905" i="3"/>
  <c r="N905" i="3" s="1"/>
  <c r="V905" i="3"/>
  <c r="A906" i="3"/>
  <c r="B906" i="3" s="1"/>
  <c r="L905" i="3" l="1"/>
  <c r="W905" i="3"/>
  <c r="AC906" i="3"/>
  <c r="P906" i="3"/>
  <c r="Q906" i="3" s="1"/>
  <c r="R906" i="3" s="1"/>
  <c r="S906" i="3" s="1"/>
  <c r="Z906" i="3"/>
  <c r="AD906" i="3"/>
  <c r="AA906" i="3"/>
  <c r="T906" i="3" l="1"/>
  <c r="U905" i="3"/>
  <c r="Y904" i="3"/>
  <c r="D906" i="3" l="1"/>
  <c r="G906" i="3" s="1"/>
  <c r="AG906" i="3"/>
  <c r="E906" i="3"/>
  <c r="H906" i="3" s="1"/>
  <c r="AH906" i="3"/>
  <c r="F906" i="3" l="1"/>
  <c r="I906" i="3"/>
  <c r="J906" i="3"/>
  <c r="M906" i="3"/>
  <c r="N906" i="3" s="1"/>
  <c r="K906" i="3"/>
  <c r="AE906" i="3" s="1"/>
  <c r="V906" i="3" l="1"/>
  <c r="W906" i="3" s="1"/>
  <c r="A907" i="3"/>
  <c r="B907" i="3" s="1"/>
  <c r="L906" i="3"/>
  <c r="U906" i="3" l="1"/>
  <c r="Y905" i="3"/>
  <c r="Z907" i="3"/>
  <c r="AC907" i="3"/>
  <c r="AA907" i="3"/>
  <c r="P907" i="3"/>
  <c r="Q907" i="3" s="1"/>
  <c r="R907" i="3" s="1"/>
  <c r="S907" i="3" s="1"/>
  <c r="AD907" i="3"/>
  <c r="T907" i="3" l="1"/>
  <c r="AG907" i="3" s="1"/>
  <c r="E907" i="3" l="1"/>
  <c r="H907" i="3" s="1"/>
  <c r="K907" i="3" s="1"/>
  <c r="AE907" i="3" s="1"/>
  <c r="D907" i="3"/>
  <c r="AH907" i="3"/>
  <c r="V907" i="3" l="1"/>
  <c r="A908" i="3"/>
  <c r="B908" i="3" s="1"/>
  <c r="F907" i="3"/>
  <c r="G907" i="3"/>
  <c r="I907" i="3" l="1"/>
  <c r="W907" i="3" s="1"/>
  <c r="J907" i="3"/>
  <c r="M907" i="3"/>
  <c r="N907" i="3" s="1"/>
  <c r="P908" i="3"/>
  <c r="Q908" i="3" s="1"/>
  <c r="R908" i="3" s="1"/>
  <c r="S908" i="3" s="1"/>
  <c r="AA908" i="3"/>
  <c r="Z908" i="3"/>
  <c r="AD908" i="3"/>
  <c r="AC908" i="3"/>
  <c r="T908" i="3" l="1"/>
  <c r="L907" i="3"/>
  <c r="AG908" i="3" l="1"/>
  <c r="AH908" i="3"/>
  <c r="U907" i="3"/>
  <c r="E908" i="3" s="1"/>
  <c r="H908" i="3" s="1"/>
  <c r="Y906" i="3"/>
  <c r="D908" i="3" l="1"/>
  <c r="G908" i="3" s="1"/>
  <c r="K908" i="3"/>
  <c r="AE908" i="3" s="1"/>
  <c r="F908" i="3" l="1"/>
  <c r="I908" i="3"/>
  <c r="J908" i="3"/>
  <c r="M908" i="3"/>
  <c r="N908" i="3" s="1"/>
  <c r="V908" i="3"/>
  <c r="A909" i="3"/>
  <c r="B909" i="3" s="1"/>
  <c r="W908" i="3" l="1"/>
  <c r="L908" i="3"/>
  <c r="AA909" i="3"/>
  <c r="Z909" i="3"/>
  <c r="P909" i="3"/>
  <c r="Q909" i="3" s="1"/>
  <c r="R909" i="3" s="1"/>
  <c r="S909" i="3" s="1"/>
  <c r="AD909" i="3"/>
  <c r="AC909" i="3"/>
  <c r="U908" i="3" l="1"/>
  <c r="Y907" i="3"/>
  <c r="T909" i="3"/>
  <c r="AH909" i="3" s="1"/>
  <c r="AG909" i="3" l="1"/>
  <c r="D909" i="3"/>
  <c r="G909" i="3" s="1"/>
  <c r="E909" i="3"/>
  <c r="H909" i="3" s="1"/>
  <c r="K909" i="3" s="1"/>
  <c r="AE909" i="3" s="1"/>
  <c r="F909" i="3" l="1"/>
  <c r="V909" i="3"/>
  <c r="A910" i="3"/>
  <c r="B910" i="3" s="1"/>
  <c r="I909" i="3"/>
  <c r="J909" i="3"/>
  <c r="M909" i="3"/>
  <c r="N909" i="3" s="1"/>
  <c r="W909" i="3" l="1"/>
  <c r="L909" i="3"/>
  <c r="AA910" i="3"/>
  <c r="AC910" i="3"/>
  <c r="P910" i="3"/>
  <c r="Q910" i="3" s="1"/>
  <c r="R910" i="3" s="1"/>
  <c r="S910" i="3" s="1"/>
  <c r="AD910" i="3"/>
  <c r="Z910" i="3"/>
  <c r="U909" i="3" l="1"/>
  <c r="Y908" i="3"/>
  <c r="T910" i="3"/>
  <c r="AH910" i="3" s="1"/>
  <c r="D910" i="3" l="1"/>
  <c r="G910" i="3" s="1"/>
  <c r="AG910" i="3"/>
  <c r="E910" i="3"/>
  <c r="H910" i="3" s="1"/>
  <c r="F910" i="3" l="1"/>
  <c r="I910" i="3"/>
  <c r="J910" i="3"/>
  <c r="M910" i="3"/>
  <c r="N910" i="3" s="1"/>
  <c r="K910" i="3"/>
  <c r="AE910" i="3" s="1"/>
  <c r="V910" i="3" l="1"/>
  <c r="W910" i="3" s="1"/>
  <c r="A911" i="3"/>
  <c r="B911" i="3" s="1"/>
  <c r="L910" i="3"/>
  <c r="U910" i="3" l="1"/>
  <c r="Y909" i="3"/>
  <c r="AD911" i="3"/>
  <c r="AA911" i="3"/>
  <c r="P911" i="3"/>
  <c r="Q911" i="3" s="1"/>
  <c r="R911" i="3" s="1"/>
  <c r="S911" i="3" s="1"/>
  <c r="Z911" i="3"/>
  <c r="AC911" i="3"/>
  <c r="T911" i="3" l="1"/>
  <c r="E911" i="3" s="1"/>
  <c r="H911" i="3" s="1"/>
  <c r="AH911" i="3" l="1"/>
  <c r="D911" i="3"/>
  <c r="G911" i="3" s="1"/>
  <c r="AG911" i="3"/>
  <c r="K911" i="3"/>
  <c r="AE911" i="3" s="1"/>
  <c r="F911" i="3" l="1"/>
  <c r="I911" i="3"/>
  <c r="J911" i="3"/>
  <c r="M911" i="3"/>
  <c r="N911" i="3" s="1"/>
  <c r="V911" i="3"/>
  <c r="A912" i="3"/>
  <c r="B912" i="3" s="1"/>
  <c r="W911" i="3" l="1"/>
  <c r="L911" i="3"/>
  <c r="AA912" i="3"/>
  <c r="AD912" i="3"/>
  <c r="AC912" i="3"/>
  <c r="P912" i="3"/>
  <c r="Q912" i="3" s="1"/>
  <c r="R912" i="3" s="1"/>
  <c r="S912" i="3" s="1"/>
  <c r="Z912" i="3"/>
  <c r="T912" i="3" l="1"/>
  <c r="U911" i="3"/>
  <c r="Y910" i="3"/>
  <c r="D912" i="3" l="1"/>
  <c r="G912" i="3" s="1"/>
  <c r="AG912" i="3"/>
  <c r="AH912" i="3"/>
  <c r="E912" i="3"/>
  <c r="H912" i="3" s="1"/>
  <c r="I912" i="3" l="1"/>
  <c r="J912" i="3"/>
  <c r="M912" i="3"/>
  <c r="N912" i="3" s="1"/>
  <c r="F912" i="3"/>
  <c r="K912" i="3"/>
  <c r="AE912" i="3" s="1"/>
  <c r="L912" i="3" l="1"/>
  <c r="V912" i="3"/>
  <c r="W912" i="3" s="1"/>
  <c r="A913" i="3"/>
  <c r="B913" i="3" s="1"/>
  <c r="U912" i="3" l="1"/>
  <c r="Y911" i="3"/>
  <c r="Z913" i="3"/>
  <c r="AD913" i="3"/>
  <c r="P913" i="3"/>
  <c r="Q913" i="3" s="1"/>
  <c r="R913" i="3" s="1"/>
  <c r="S913" i="3" s="1"/>
  <c r="AA913" i="3"/>
  <c r="AC913" i="3"/>
  <c r="T913" i="3" l="1"/>
  <c r="AH913" i="3" s="1"/>
  <c r="D913" i="3" l="1"/>
  <c r="G913" i="3" s="1"/>
  <c r="AG913" i="3"/>
  <c r="E913" i="3"/>
  <c r="H913" i="3" s="1"/>
  <c r="F913" i="3" l="1"/>
  <c r="I913" i="3"/>
  <c r="J913" i="3"/>
  <c r="M913" i="3"/>
  <c r="N913" i="3" s="1"/>
  <c r="K913" i="3"/>
  <c r="AE913" i="3" s="1"/>
  <c r="V913" i="3" l="1"/>
  <c r="W913" i="3" s="1"/>
  <c r="A914" i="3"/>
  <c r="B914" i="3" s="1"/>
  <c r="L913" i="3"/>
  <c r="U913" i="3" l="1"/>
  <c r="Y912" i="3"/>
  <c r="AA914" i="3"/>
  <c r="Z914" i="3"/>
  <c r="AC914" i="3"/>
  <c r="P914" i="3"/>
  <c r="Q914" i="3" s="1"/>
  <c r="R914" i="3" s="1"/>
  <c r="S914" i="3" s="1"/>
  <c r="T914" i="3" l="1"/>
  <c r="D914" i="3" s="1"/>
  <c r="E914" i="3" l="1"/>
  <c r="H914" i="3" s="1"/>
  <c r="K914" i="3" s="1"/>
  <c r="AE914" i="3" s="1"/>
  <c r="G914" i="3"/>
  <c r="AH914" i="3"/>
  <c r="AG914" i="3"/>
  <c r="F914" i="3" l="1"/>
  <c r="I914" i="3"/>
  <c r="J914" i="3"/>
  <c r="AD914" i="3" s="1"/>
  <c r="M914" i="3"/>
  <c r="N914" i="3" s="1"/>
  <c r="V914" i="3"/>
  <c r="A915" i="3"/>
  <c r="B915" i="3" s="1"/>
  <c r="W914" i="3" l="1"/>
  <c r="L914" i="3"/>
  <c r="P915" i="3"/>
  <c r="Q915" i="3" s="1"/>
  <c r="R915" i="3" s="1"/>
  <c r="S915" i="3" s="1"/>
  <c r="AA915" i="3"/>
  <c r="AC915" i="3"/>
  <c r="Z915" i="3"/>
  <c r="AD915" i="3"/>
  <c r="U914" i="3" l="1"/>
  <c r="Y913" i="3"/>
  <c r="T915" i="3"/>
  <c r="AH915" i="3" s="1"/>
  <c r="E915" i="3" l="1"/>
  <c r="H915" i="3" s="1"/>
  <c r="D915" i="3"/>
  <c r="AG915" i="3"/>
  <c r="K915" i="3" l="1"/>
  <c r="AE915" i="3" s="1"/>
  <c r="F915" i="3"/>
  <c r="G915" i="3"/>
  <c r="I915" i="3" l="1"/>
  <c r="J915" i="3"/>
  <c r="M915" i="3"/>
  <c r="N915" i="3" s="1"/>
  <c r="V915" i="3"/>
  <c r="A916" i="3"/>
  <c r="B916" i="3" s="1"/>
  <c r="W915" i="3" l="1"/>
  <c r="L915" i="3"/>
  <c r="AC916" i="3"/>
  <c r="AA916" i="3"/>
  <c r="Z916" i="3"/>
  <c r="P916" i="3"/>
  <c r="Q916" i="3" s="1"/>
  <c r="R916" i="3" s="1"/>
  <c r="S916" i="3" s="1"/>
  <c r="AD916" i="3"/>
  <c r="U915" i="3" l="1"/>
  <c r="Y914" i="3"/>
  <c r="T916" i="3"/>
  <c r="D916" i="3" l="1"/>
  <c r="G916" i="3" s="1"/>
  <c r="AG916" i="3"/>
  <c r="AH916" i="3"/>
  <c r="E916" i="3"/>
  <c r="H916" i="3" s="1"/>
  <c r="K916" i="3" l="1"/>
  <c r="AE916" i="3" s="1"/>
  <c r="I916" i="3"/>
  <c r="J916" i="3"/>
  <c r="M916" i="3"/>
  <c r="N916" i="3" s="1"/>
  <c r="F916" i="3"/>
  <c r="L916" i="3" l="1"/>
  <c r="V916" i="3"/>
  <c r="W916" i="3" s="1"/>
  <c r="A917" i="3"/>
  <c r="B917" i="3" s="1"/>
  <c r="U916" i="3" l="1"/>
  <c r="Y915" i="3"/>
  <c r="AD917" i="3"/>
  <c r="AC917" i="3"/>
  <c r="Z917" i="3"/>
  <c r="P917" i="3"/>
  <c r="Q917" i="3" s="1"/>
  <c r="R917" i="3" s="1"/>
  <c r="S917" i="3" s="1"/>
  <c r="AA917" i="3"/>
  <c r="T917" i="3" l="1"/>
  <c r="AG917" i="3" s="1"/>
  <c r="E917" i="3" l="1"/>
  <c r="H917" i="3" s="1"/>
  <c r="K917" i="3" s="1"/>
  <c r="AE917" i="3" s="1"/>
  <c r="AH917" i="3"/>
  <c r="D917" i="3"/>
  <c r="F917" i="3" l="1"/>
  <c r="G917" i="3"/>
  <c r="J917" i="3" s="1"/>
  <c r="V917" i="3"/>
  <c r="A918" i="3"/>
  <c r="B918" i="3" s="1"/>
  <c r="M917" i="3" l="1"/>
  <c r="N917" i="3" s="1"/>
  <c r="I917" i="3"/>
  <c r="W917" i="3" s="1"/>
  <c r="L917" i="3"/>
  <c r="AC918" i="3"/>
  <c r="AD918" i="3"/>
  <c r="AA918" i="3"/>
  <c r="Z918" i="3"/>
  <c r="P918" i="3"/>
  <c r="Q918" i="3" s="1"/>
  <c r="R918" i="3" s="1"/>
  <c r="S918" i="3" s="1"/>
  <c r="T918" i="3" l="1"/>
  <c r="U917" i="3"/>
  <c r="Y916" i="3"/>
  <c r="E918" i="3" l="1"/>
  <c r="H918" i="3" s="1"/>
  <c r="K918" i="3" s="1"/>
  <c r="AE918" i="3" s="1"/>
  <c r="AH918" i="3"/>
  <c r="D918" i="3"/>
  <c r="G918" i="3" s="1"/>
  <c r="AG918" i="3"/>
  <c r="F918" i="3" l="1"/>
  <c r="I918" i="3"/>
  <c r="J918" i="3"/>
  <c r="M918" i="3"/>
  <c r="N918" i="3" s="1"/>
  <c r="V918" i="3"/>
  <c r="A919" i="3"/>
  <c r="B919" i="3" s="1"/>
  <c r="L918" i="3" l="1"/>
  <c r="W918" i="3"/>
  <c r="P919" i="3"/>
  <c r="Q919" i="3" s="1"/>
  <c r="R919" i="3" s="1"/>
  <c r="S919" i="3" s="1"/>
  <c r="Z919" i="3"/>
  <c r="AC919" i="3"/>
  <c r="AD919" i="3"/>
  <c r="AA919" i="3"/>
  <c r="U918" i="3" l="1"/>
  <c r="Y917" i="3"/>
  <c r="T919" i="3"/>
  <c r="AG919" i="3" s="1"/>
  <c r="E919" i="3" l="1"/>
  <c r="H919" i="3" s="1"/>
  <c r="K919" i="3" s="1"/>
  <c r="AE919" i="3" s="1"/>
  <c r="AH919" i="3"/>
  <c r="D919" i="3"/>
  <c r="V919" i="3" l="1"/>
  <c r="A920" i="3"/>
  <c r="B920" i="3" s="1"/>
  <c r="F919" i="3"/>
  <c r="G919" i="3"/>
  <c r="I919" i="3" l="1"/>
  <c r="W919" i="3" s="1"/>
  <c r="J919" i="3"/>
  <c r="M919" i="3"/>
  <c r="N919" i="3" s="1"/>
  <c r="AD920" i="3"/>
  <c r="AC920" i="3"/>
  <c r="P920" i="3"/>
  <c r="Q920" i="3" s="1"/>
  <c r="R920" i="3" s="1"/>
  <c r="S920" i="3" s="1"/>
  <c r="AA920" i="3"/>
  <c r="Z920" i="3"/>
  <c r="T920" i="3" l="1"/>
  <c r="L919" i="3"/>
  <c r="AH920" i="3" l="1"/>
  <c r="U919" i="3"/>
  <c r="E920" i="3" s="1"/>
  <c r="H920" i="3" s="1"/>
  <c r="AG920" i="3"/>
  <c r="Y918" i="3"/>
  <c r="D920" i="3" l="1"/>
  <c r="G920" i="3" s="1"/>
  <c r="K920" i="3"/>
  <c r="AE920" i="3" s="1"/>
  <c r="F920" i="3" l="1"/>
  <c r="V920" i="3"/>
  <c r="A921" i="3"/>
  <c r="B921" i="3" s="1"/>
  <c r="I920" i="3"/>
  <c r="J920" i="3"/>
  <c r="M920" i="3"/>
  <c r="N920" i="3" s="1"/>
  <c r="W920" i="3" l="1"/>
  <c r="L920" i="3"/>
  <c r="AA921" i="3"/>
  <c r="Z921" i="3"/>
  <c r="P921" i="3"/>
  <c r="Q921" i="3" s="1"/>
  <c r="R921" i="3" s="1"/>
  <c r="S921" i="3" s="1"/>
  <c r="AD921" i="3"/>
  <c r="AC921" i="3"/>
  <c r="U920" i="3" l="1"/>
  <c r="Y919" i="3"/>
  <c r="T921" i="3"/>
  <c r="AG921" i="3" s="1"/>
  <c r="E921" i="3" l="1"/>
  <c r="H921" i="3" s="1"/>
  <c r="K921" i="3" s="1"/>
  <c r="AE921" i="3" s="1"/>
  <c r="AH921" i="3"/>
  <c r="D921" i="3"/>
  <c r="G921" i="3" s="1"/>
  <c r="F921" i="3" l="1"/>
  <c r="I921" i="3"/>
  <c r="J921" i="3"/>
  <c r="M921" i="3"/>
  <c r="N921" i="3" s="1"/>
  <c r="V921" i="3"/>
  <c r="A922" i="3"/>
  <c r="B922" i="3" s="1"/>
  <c r="W921" i="3" l="1"/>
  <c r="L921" i="3"/>
  <c r="AC922" i="3"/>
  <c r="AA922" i="3"/>
  <c r="Z922" i="3"/>
  <c r="P922" i="3"/>
  <c r="Q922" i="3" s="1"/>
  <c r="R922" i="3" s="1"/>
  <c r="S922" i="3" s="1"/>
  <c r="AD922" i="3"/>
  <c r="U921" i="3" l="1"/>
  <c r="Y920" i="3"/>
  <c r="T922" i="3"/>
  <c r="E922" i="3" l="1"/>
  <c r="H922" i="3" s="1"/>
  <c r="K922" i="3" s="1"/>
  <c r="AE922" i="3" s="1"/>
  <c r="AH922" i="3"/>
  <c r="D922" i="3"/>
  <c r="AG922" i="3"/>
  <c r="F922" i="3" l="1"/>
  <c r="G922" i="3"/>
  <c r="V922" i="3"/>
  <c r="A923" i="3"/>
  <c r="B923" i="3" s="1"/>
  <c r="AD923" i="3" l="1"/>
  <c r="AC923" i="3"/>
  <c r="Z923" i="3"/>
  <c r="AA923" i="3"/>
  <c r="P923" i="3"/>
  <c r="Q923" i="3" s="1"/>
  <c r="R923" i="3" s="1"/>
  <c r="S923" i="3" s="1"/>
  <c r="I922" i="3"/>
  <c r="W922" i="3" s="1"/>
  <c r="J922" i="3"/>
  <c r="M922" i="3"/>
  <c r="N922" i="3" s="1"/>
  <c r="L922" i="3" l="1"/>
  <c r="T923" i="3"/>
  <c r="AH923" i="3" l="1"/>
  <c r="AG923" i="3"/>
  <c r="U922" i="3"/>
  <c r="D923" i="3" s="1"/>
  <c r="Y921" i="3"/>
  <c r="E923" i="3" l="1"/>
  <c r="H923" i="3" s="1"/>
  <c r="K923" i="3" s="1"/>
  <c r="AE923" i="3" s="1"/>
  <c r="G923" i="3"/>
  <c r="F923" i="3" l="1"/>
  <c r="V923" i="3"/>
  <c r="A924" i="3"/>
  <c r="B924" i="3" s="1"/>
  <c r="I923" i="3"/>
  <c r="J923" i="3"/>
  <c r="M923" i="3"/>
  <c r="N923" i="3" s="1"/>
  <c r="W923" i="3" l="1"/>
  <c r="L923" i="3"/>
  <c r="Z924" i="3"/>
  <c r="AC924" i="3"/>
  <c r="P924" i="3"/>
  <c r="Q924" i="3" s="1"/>
  <c r="R924" i="3" s="1"/>
  <c r="S924" i="3" s="1"/>
  <c r="AA924" i="3"/>
  <c r="U923" i="3" l="1"/>
  <c r="Y922" i="3"/>
  <c r="T924" i="3"/>
  <c r="AH924" i="3" s="1"/>
  <c r="D924" i="3" l="1"/>
  <c r="G924" i="3" s="1"/>
  <c r="AG924" i="3"/>
  <c r="E924" i="3"/>
  <c r="H924" i="3" s="1"/>
  <c r="K924" i="3" s="1"/>
  <c r="AE924" i="3" s="1"/>
  <c r="F924" i="3" l="1"/>
  <c r="I924" i="3"/>
  <c r="J924" i="3"/>
  <c r="AD924" i="3" s="1"/>
  <c r="M924" i="3"/>
  <c r="N924" i="3" s="1"/>
  <c r="V924" i="3"/>
  <c r="A925" i="3"/>
  <c r="B925" i="3" s="1"/>
  <c r="W924" i="3" l="1"/>
  <c r="L924" i="3"/>
  <c r="Z925" i="3"/>
  <c r="AA925" i="3"/>
  <c r="AD925" i="3"/>
  <c r="AC925" i="3"/>
  <c r="P925" i="3"/>
  <c r="Q925" i="3" s="1"/>
  <c r="R925" i="3" s="1"/>
  <c r="S925" i="3" s="1"/>
  <c r="T925" i="3" l="1"/>
  <c r="AG925" i="3" s="1"/>
  <c r="U924" i="3"/>
  <c r="Y923" i="3"/>
  <c r="AH925" i="3" l="1"/>
  <c r="E925" i="3"/>
  <c r="H925" i="3" s="1"/>
  <c r="D925" i="3"/>
  <c r="K925" i="3" l="1"/>
  <c r="AE925" i="3" s="1"/>
  <c r="F925" i="3"/>
  <c r="G925" i="3"/>
  <c r="I925" i="3" l="1"/>
  <c r="J925" i="3"/>
  <c r="M925" i="3"/>
  <c r="N925" i="3" s="1"/>
  <c r="V925" i="3"/>
  <c r="A926" i="3"/>
  <c r="B926" i="3" s="1"/>
  <c r="W925" i="3" l="1"/>
  <c r="L925" i="3"/>
  <c r="AC926" i="3"/>
  <c r="AA926" i="3"/>
  <c r="AD926" i="3"/>
  <c r="P926" i="3"/>
  <c r="Q926" i="3" s="1"/>
  <c r="R926" i="3" s="1"/>
  <c r="S926" i="3" s="1"/>
  <c r="Z926" i="3"/>
  <c r="U925" i="3" l="1"/>
  <c r="Y924" i="3"/>
  <c r="T926" i="3"/>
  <c r="AG926" i="3" s="1"/>
  <c r="E926" i="3" l="1"/>
  <c r="H926" i="3" s="1"/>
  <c r="K926" i="3" s="1"/>
  <c r="AE926" i="3" s="1"/>
  <c r="AH926" i="3"/>
  <c r="D926" i="3"/>
  <c r="V926" i="3" l="1"/>
  <c r="A927" i="3"/>
  <c r="B927" i="3" s="1"/>
  <c r="F926" i="3"/>
  <c r="G926" i="3"/>
  <c r="I926" i="3" l="1"/>
  <c r="W926" i="3" s="1"/>
  <c r="J926" i="3"/>
  <c r="M926" i="3"/>
  <c r="N926" i="3" s="1"/>
  <c r="AD927" i="3"/>
  <c r="Z927" i="3"/>
  <c r="P927" i="3"/>
  <c r="Q927" i="3" s="1"/>
  <c r="R927" i="3" s="1"/>
  <c r="S927" i="3" s="1"/>
  <c r="AA927" i="3"/>
  <c r="AC927" i="3"/>
  <c r="T927" i="3" l="1"/>
  <c r="L926" i="3"/>
  <c r="U926" i="3" l="1"/>
  <c r="D927" i="3" s="1"/>
  <c r="AG927" i="3"/>
  <c r="AH927" i="3"/>
  <c r="Y925" i="3"/>
  <c r="G927" i="3" l="1"/>
  <c r="E927" i="3"/>
  <c r="H927" i="3" s="1"/>
  <c r="F927" i="3" l="1"/>
  <c r="K927" i="3"/>
  <c r="AE927" i="3" s="1"/>
  <c r="I927" i="3"/>
  <c r="J927" i="3"/>
  <c r="M927" i="3"/>
  <c r="N927" i="3" s="1"/>
  <c r="L927" i="3" l="1"/>
  <c r="V927" i="3"/>
  <c r="W927" i="3" s="1"/>
  <c r="A928" i="3"/>
  <c r="B928" i="3" s="1"/>
  <c r="U927" i="3" l="1"/>
  <c r="Y926" i="3"/>
  <c r="AC928" i="3"/>
  <c r="AD928" i="3"/>
  <c r="AA928" i="3"/>
  <c r="Z928" i="3"/>
  <c r="P928" i="3"/>
  <c r="Q928" i="3" s="1"/>
  <c r="R928" i="3" s="1"/>
  <c r="S928" i="3" s="1"/>
  <c r="T928" i="3" l="1"/>
  <c r="D928" i="3" s="1"/>
  <c r="AH928" i="3" l="1"/>
  <c r="E928" i="3"/>
  <c r="H928" i="3" s="1"/>
  <c r="K928" i="3" s="1"/>
  <c r="AE928" i="3" s="1"/>
  <c r="AG928" i="3"/>
  <c r="G928" i="3"/>
  <c r="F928" i="3" l="1"/>
  <c r="I928" i="3"/>
  <c r="J928" i="3"/>
  <c r="M928" i="3"/>
  <c r="N928" i="3" s="1"/>
  <c r="V928" i="3"/>
  <c r="A929" i="3"/>
  <c r="B929" i="3" s="1"/>
  <c r="L928" i="3" l="1"/>
  <c r="P929" i="3"/>
  <c r="Q929" i="3" s="1"/>
  <c r="R929" i="3" s="1"/>
  <c r="S929" i="3" s="1"/>
  <c r="AD929" i="3"/>
  <c r="AC929" i="3"/>
  <c r="Z929" i="3"/>
  <c r="AA929" i="3"/>
  <c r="W928" i="3"/>
  <c r="T929" i="3" l="1"/>
  <c r="AG929" i="3" s="1"/>
  <c r="U928" i="3"/>
  <c r="Y927" i="3"/>
  <c r="AH929" i="3" l="1"/>
  <c r="D929" i="3"/>
  <c r="E929" i="3"/>
  <c r="H929" i="3" s="1"/>
  <c r="F929" i="3" l="1"/>
  <c r="G929" i="3"/>
  <c r="K929" i="3"/>
  <c r="AE929" i="3" s="1"/>
  <c r="V929" i="3" l="1"/>
  <c r="A930" i="3"/>
  <c r="B930" i="3" s="1"/>
  <c r="I929" i="3"/>
  <c r="J929" i="3"/>
  <c r="M929" i="3"/>
  <c r="N929" i="3" s="1"/>
  <c r="L929" i="3" l="1"/>
  <c r="AD930" i="3"/>
  <c r="P930" i="3"/>
  <c r="Q930" i="3" s="1"/>
  <c r="R930" i="3" s="1"/>
  <c r="S930" i="3" s="1"/>
  <c r="AC930" i="3"/>
  <c r="Z930" i="3"/>
  <c r="AA930" i="3"/>
  <c r="W929" i="3"/>
  <c r="T930" i="3" l="1"/>
  <c r="U929" i="3"/>
  <c r="Y928" i="3"/>
  <c r="D930" i="3" l="1"/>
  <c r="G930" i="3" s="1"/>
  <c r="AH930" i="3"/>
  <c r="E930" i="3"/>
  <c r="H930" i="3" s="1"/>
  <c r="AG930" i="3"/>
  <c r="F930" i="3" l="1"/>
  <c r="I930" i="3"/>
  <c r="J930" i="3"/>
  <c r="M930" i="3"/>
  <c r="N930" i="3" s="1"/>
  <c r="K930" i="3"/>
  <c r="AE930" i="3" s="1"/>
  <c r="V930" i="3" l="1"/>
  <c r="W930" i="3" s="1"/>
  <c r="A931" i="3"/>
  <c r="B931" i="3" s="1"/>
  <c r="L930" i="3"/>
  <c r="U930" i="3" l="1"/>
  <c r="Y929" i="3"/>
  <c r="AC931" i="3"/>
  <c r="AA931" i="3"/>
  <c r="Z931" i="3"/>
  <c r="P931" i="3"/>
  <c r="Q931" i="3" s="1"/>
  <c r="R931" i="3" s="1"/>
  <c r="S931" i="3" s="1"/>
  <c r="AD931" i="3"/>
  <c r="T931" i="3" l="1"/>
  <c r="AH931" i="3" s="1"/>
  <c r="E931" i="3" l="1"/>
  <c r="H931" i="3" s="1"/>
  <c r="D931" i="3"/>
  <c r="AG931" i="3"/>
  <c r="K931" i="3" l="1"/>
  <c r="AE931" i="3" s="1"/>
  <c r="F931" i="3"/>
  <c r="G931" i="3"/>
  <c r="I931" i="3" l="1"/>
  <c r="J931" i="3"/>
  <c r="M931" i="3"/>
  <c r="N931" i="3" s="1"/>
  <c r="V931" i="3"/>
  <c r="A932" i="3"/>
  <c r="B932" i="3" s="1"/>
  <c r="W931" i="3" l="1"/>
  <c r="L931" i="3"/>
  <c r="AA932" i="3"/>
  <c r="AD932" i="3"/>
  <c r="Z932" i="3"/>
  <c r="AC932" i="3"/>
  <c r="P932" i="3"/>
  <c r="Q932" i="3" s="1"/>
  <c r="R932" i="3" s="1"/>
  <c r="S932" i="3" s="1"/>
  <c r="U931" i="3" l="1"/>
  <c r="Y930" i="3"/>
  <c r="T932" i="3"/>
  <c r="AH932" i="3" s="1"/>
  <c r="E932" i="3" l="1"/>
  <c r="H932" i="3" s="1"/>
  <c r="D932" i="3"/>
  <c r="AG932" i="3"/>
  <c r="K932" i="3" l="1"/>
  <c r="AE932" i="3" s="1"/>
  <c r="F932" i="3"/>
  <c r="G932" i="3"/>
  <c r="V932" i="3" l="1"/>
  <c r="A933" i="3"/>
  <c r="B933" i="3" s="1"/>
  <c r="I932" i="3"/>
  <c r="J932" i="3"/>
  <c r="M932" i="3"/>
  <c r="N932" i="3" s="1"/>
  <c r="L932" i="3" l="1"/>
  <c r="W932" i="3"/>
  <c r="AA933" i="3"/>
  <c r="P933" i="3"/>
  <c r="Q933" i="3" s="1"/>
  <c r="R933" i="3" s="1"/>
  <c r="S933" i="3" s="1"/>
  <c r="Z933" i="3"/>
  <c r="AD933" i="3"/>
  <c r="AC933" i="3"/>
  <c r="U932" i="3" l="1"/>
  <c r="Y931" i="3"/>
  <c r="T933" i="3"/>
  <c r="D933" i="3" l="1"/>
  <c r="G933" i="3" s="1"/>
  <c r="AH933" i="3"/>
  <c r="AG933" i="3"/>
  <c r="E933" i="3"/>
  <c r="H933" i="3" s="1"/>
  <c r="K933" i="3" l="1"/>
  <c r="AE933" i="3" s="1"/>
  <c r="I933" i="3"/>
  <c r="J933" i="3"/>
  <c r="M933" i="3"/>
  <c r="N933" i="3" s="1"/>
  <c r="F933" i="3"/>
  <c r="V933" i="3" l="1"/>
  <c r="W933" i="3" s="1"/>
  <c r="A934" i="3"/>
  <c r="B934" i="3" s="1"/>
  <c r="L933" i="3"/>
  <c r="U933" i="3" l="1"/>
  <c r="Y932" i="3"/>
  <c r="AC934" i="3"/>
  <c r="Z934" i="3"/>
  <c r="P934" i="3"/>
  <c r="Q934" i="3" s="1"/>
  <c r="R934" i="3" s="1"/>
  <c r="S934" i="3" s="1"/>
  <c r="AA934" i="3"/>
  <c r="T934" i="3" l="1"/>
  <c r="AH934" i="3" s="1"/>
  <c r="AG934" i="3" l="1"/>
  <c r="D934" i="3"/>
  <c r="E934" i="3"/>
  <c r="H934" i="3" s="1"/>
  <c r="K934" i="3" l="1"/>
  <c r="AE934" i="3" s="1"/>
  <c r="F934" i="3"/>
  <c r="G934" i="3"/>
  <c r="V934" i="3" l="1"/>
  <c r="A935" i="3"/>
  <c r="B935" i="3" s="1"/>
  <c r="I934" i="3"/>
  <c r="J934" i="3"/>
  <c r="AD934" i="3" s="1"/>
  <c r="M934" i="3"/>
  <c r="N934" i="3" s="1"/>
  <c r="W934" i="3" l="1"/>
  <c r="L934" i="3"/>
  <c r="AD935" i="3"/>
  <c r="P935" i="3"/>
  <c r="Q935" i="3" s="1"/>
  <c r="R935" i="3" s="1"/>
  <c r="S935" i="3" s="1"/>
  <c r="AA935" i="3"/>
  <c r="AC935" i="3"/>
  <c r="Z935" i="3"/>
  <c r="T935" i="3" l="1"/>
  <c r="U934" i="3"/>
  <c r="Y933" i="3"/>
  <c r="E935" i="3" l="1"/>
  <c r="H935" i="3" s="1"/>
  <c r="K935" i="3" s="1"/>
  <c r="AE935" i="3" s="1"/>
  <c r="AH935" i="3"/>
  <c r="AG935" i="3"/>
  <c r="D935" i="3"/>
  <c r="V935" i="3" l="1"/>
  <c r="A936" i="3"/>
  <c r="B936" i="3" s="1"/>
  <c r="F935" i="3"/>
  <c r="G935" i="3"/>
  <c r="I935" i="3" l="1"/>
  <c r="W935" i="3" s="1"/>
  <c r="J935" i="3"/>
  <c r="M935" i="3"/>
  <c r="N935" i="3" s="1"/>
  <c r="P936" i="3"/>
  <c r="Q936" i="3" s="1"/>
  <c r="R936" i="3" s="1"/>
  <c r="S936" i="3" s="1"/>
  <c r="AD936" i="3"/>
  <c r="AC936" i="3"/>
  <c r="Z936" i="3"/>
  <c r="AA936" i="3"/>
  <c r="T936" i="3" l="1"/>
  <c r="L935" i="3"/>
  <c r="AH936" i="3" l="1"/>
  <c r="U935" i="3"/>
  <c r="E936" i="3" s="1"/>
  <c r="H936" i="3" s="1"/>
  <c r="AG936" i="3"/>
  <c r="Y934" i="3"/>
  <c r="D936" i="3" l="1"/>
  <c r="F936" i="3" s="1"/>
  <c r="K936" i="3"/>
  <c r="AE936" i="3" s="1"/>
  <c r="G936" i="3" l="1"/>
  <c r="J936" i="3" s="1"/>
  <c r="V936" i="3"/>
  <c r="A937" i="3"/>
  <c r="B937" i="3" s="1"/>
  <c r="M936" i="3" l="1"/>
  <c r="N936" i="3" s="1"/>
  <c r="I936" i="3"/>
  <c r="W936" i="3" s="1"/>
  <c r="L936" i="3"/>
  <c r="AD937" i="3"/>
  <c r="P937" i="3"/>
  <c r="Q937" i="3" s="1"/>
  <c r="R937" i="3" s="1"/>
  <c r="S937" i="3" s="1"/>
  <c r="AA937" i="3"/>
  <c r="Z937" i="3"/>
  <c r="AC937" i="3"/>
  <c r="U936" i="3" l="1"/>
  <c r="Y935" i="3"/>
  <c r="T937" i="3"/>
  <c r="AG937" i="3" s="1"/>
  <c r="E937" i="3" l="1"/>
  <c r="H937" i="3" s="1"/>
  <c r="K937" i="3" s="1"/>
  <c r="AE937" i="3" s="1"/>
  <c r="D937" i="3"/>
  <c r="G937" i="3" s="1"/>
  <c r="AH937" i="3"/>
  <c r="F937" i="3" l="1"/>
  <c r="V937" i="3"/>
  <c r="A938" i="3"/>
  <c r="B938" i="3" s="1"/>
  <c r="I937" i="3"/>
  <c r="J937" i="3"/>
  <c r="M937" i="3"/>
  <c r="N937" i="3" s="1"/>
  <c r="W937" i="3" l="1"/>
  <c r="L937" i="3"/>
  <c r="Z938" i="3"/>
  <c r="P938" i="3"/>
  <c r="Q938" i="3" s="1"/>
  <c r="R938" i="3" s="1"/>
  <c r="S938" i="3" s="1"/>
  <c r="AA938" i="3"/>
  <c r="AC938" i="3"/>
  <c r="AD938" i="3"/>
  <c r="T938" i="3" l="1"/>
  <c r="AG938" i="3" s="1"/>
  <c r="U937" i="3"/>
  <c r="Y936" i="3"/>
  <c r="D938" i="3" l="1"/>
  <c r="AH938" i="3"/>
  <c r="E938" i="3"/>
  <c r="H938" i="3" s="1"/>
  <c r="F938" i="3" l="1"/>
  <c r="G938" i="3"/>
  <c r="J938" i="3" s="1"/>
  <c r="K938" i="3"/>
  <c r="AE938" i="3" s="1"/>
  <c r="I938" i="3" l="1"/>
  <c r="M938" i="3"/>
  <c r="N938" i="3" s="1"/>
  <c r="V938" i="3"/>
  <c r="A939" i="3"/>
  <c r="B939" i="3" s="1"/>
  <c r="L938" i="3"/>
  <c r="W938" i="3" l="1"/>
  <c r="U938" i="3"/>
  <c r="Y937" i="3"/>
  <c r="AA939" i="3"/>
  <c r="P939" i="3"/>
  <c r="Q939" i="3" s="1"/>
  <c r="R939" i="3" s="1"/>
  <c r="S939" i="3" s="1"/>
  <c r="Z939" i="3"/>
  <c r="AD939" i="3"/>
  <c r="AC939" i="3"/>
  <c r="T939" i="3" l="1"/>
  <c r="E939" i="3" s="1"/>
  <c r="H939" i="3" s="1"/>
  <c r="K939" i="3" l="1"/>
  <c r="AE939" i="3" s="1"/>
  <c r="AG939" i="3"/>
  <c r="D939" i="3"/>
  <c r="AH939" i="3"/>
  <c r="F939" i="3" l="1"/>
  <c r="G939" i="3"/>
  <c r="V939" i="3"/>
  <c r="A940" i="3"/>
  <c r="B940" i="3" s="1"/>
  <c r="AC940" i="3" l="1"/>
  <c r="Z940" i="3"/>
  <c r="P940" i="3"/>
  <c r="Q940" i="3" s="1"/>
  <c r="R940" i="3" s="1"/>
  <c r="S940" i="3" s="1"/>
  <c r="AA940" i="3"/>
  <c r="AD940" i="3"/>
  <c r="I939" i="3"/>
  <c r="W939" i="3" s="1"/>
  <c r="J939" i="3"/>
  <c r="M939" i="3"/>
  <c r="N939" i="3" s="1"/>
  <c r="T940" i="3" l="1"/>
  <c r="L939" i="3"/>
  <c r="AG940" i="3" l="1"/>
  <c r="AH940" i="3"/>
  <c r="U939" i="3"/>
  <c r="D940" i="3" s="1"/>
  <c r="Y938" i="3"/>
  <c r="E940" i="3" l="1"/>
  <c r="H940" i="3" s="1"/>
  <c r="K940" i="3" s="1"/>
  <c r="AE940" i="3" s="1"/>
  <c r="G940" i="3"/>
  <c r="F940" i="3" l="1"/>
  <c r="I940" i="3"/>
  <c r="J940" i="3"/>
  <c r="M940" i="3"/>
  <c r="N940" i="3" s="1"/>
  <c r="V940" i="3"/>
  <c r="A941" i="3"/>
  <c r="B941" i="3" s="1"/>
  <c r="W940" i="3" l="1"/>
  <c r="L940" i="3"/>
  <c r="AD941" i="3"/>
  <c r="P941" i="3"/>
  <c r="Q941" i="3" s="1"/>
  <c r="R941" i="3" s="1"/>
  <c r="S941" i="3" s="1"/>
  <c r="Z941" i="3"/>
  <c r="AC941" i="3"/>
  <c r="AA941" i="3"/>
  <c r="T941" i="3" l="1"/>
  <c r="U940" i="3"/>
  <c r="Y939" i="3"/>
  <c r="E941" i="3" l="1"/>
  <c r="H941" i="3" s="1"/>
  <c r="K941" i="3" s="1"/>
  <c r="AE941" i="3" s="1"/>
  <c r="AH941" i="3"/>
  <c r="AG941" i="3"/>
  <c r="D941" i="3"/>
  <c r="F941" i="3" l="1"/>
  <c r="G941" i="3"/>
  <c r="V941" i="3"/>
  <c r="A942" i="3"/>
  <c r="B942" i="3" s="1"/>
  <c r="Z942" i="3" l="1"/>
  <c r="AD942" i="3"/>
  <c r="AC942" i="3"/>
  <c r="AA942" i="3"/>
  <c r="P942" i="3"/>
  <c r="Q942" i="3" s="1"/>
  <c r="R942" i="3" s="1"/>
  <c r="S942" i="3" s="1"/>
  <c r="I941" i="3"/>
  <c r="W941" i="3" s="1"/>
  <c r="J941" i="3"/>
  <c r="M941" i="3"/>
  <c r="N941" i="3" s="1"/>
  <c r="T942" i="3" l="1"/>
  <c r="L941" i="3"/>
  <c r="U941" i="3" l="1"/>
  <c r="E942" i="3" s="1"/>
  <c r="H942" i="3" s="1"/>
  <c r="AG942" i="3"/>
  <c r="AH942" i="3"/>
  <c r="Y940" i="3"/>
  <c r="D942" i="3" l="1"/>
  <c r="G942" i="3" s="1"/>
  <c r="K942" i="3"/>
  <c r="AE942" i="3" s="1"/>
  <c r="F942" i="3" l="1"/>
  <c r="I942" i="3"/>
  <c r="J942" i="3"/>
  <c r="M942" i="3"/>
  <c r="N942" i="3" s="1"/>
  <c r="V942" i="3"/>
  <c r="A943" i="3"/>
  <c r="B943" i="3" s="1"/>
  <c r="W942" i="3" l="1"/>
  <c r="L942" i="3"/>
  <c r="AA943" i="3"/>
  <c r="AC943" i="3"/>
  <c r="P943" i="3"/>
  <c r="Q943" i="3" s="1"/>
  <c r="R943" i="3" s="1"/>
  <c r="S943" i="3" s="1"/>
  <c r="Z943" i="3"/>
  <c r="AD943" i="3"/>
  <c r="U942" i="3" l="1"/>
  <c r="Y941" i="3"/>
  <c r="T943" i="3"/>
  <c r="AG943" i="3" s="1"/>
  <c r="E943" i="3" l="1"/>
  <c r="H943" i="3" s="1"/>
  <c r="K943" i="3" s="1"/>
  <c r="AE943" i="3" s="1"/>
  <c r="D943" i="3"/>
  <c r="AH943" i="3"/>
  <c r="F943" i="3" l="1"/>
  <c r="G943" i="3"/>
  <c r="M943" i="3" s="1"/>
  <c r="N943" i="3" s="1"/>
  <c r="V943" i="3"/>
  <c r="A944" i="3"/>
  <c r="B944" i="3" s="1"/>
  <c r="I943" i="3" l="1"/>
  <c r="W943" i="3" s="1"/>
  <c r="J943" i="3"/>
  <c r="L943" i="3" s="1"/>
  <c r="P944" i="3"/>
  <c r="Q944" i="3" s="1"/>
  <c r="R944" i="3" s="1"/>
  <c r="S944" i="3" s="1"/>
  <c r="AC944" i="3"/>
  <c r="Z944" i="3"/>
  <c r="AA944" i="3"/>
  <c r="U943" i="3" l="1"/>
  <c r="Y942" i="3"/>
  <c r="T944" i="3"/>
  <c r="AH944" i="3" s="1"/>
  <c r="D944" i="3" l="1"/>
  <c r="E944" i="3"/>
  <c r="H944" i="3" s="1"/>
  <c r="AG944" i="3"/>
  <c r="F944" i="3" l="1"/>
  <c r="G944" i="3"/>
  <c r="K944" i="3"/>
  <c r="AE944" i="3" s="1"/>
  <c r="I944" i="3" l="1"/>
  <c r="J944" i="3"/>
  <c r="AD944" i="3" s="1"/>
  <c r="M944" i="3"/>
  <c r="N944" i="3" s="1"/>
  <c r="V944" i="3"/>
  <c r="A945" i="3"/>
  <c r="B945" i="3" s="1"/>
  <c r="W944" i="3" l="1"/>
  <c r="L944" i="3"/>
  <c r="P945" i="3"/>
  <c r="Q945" i="3" s="1"/>
  <c r="R945" i="3" s="1"/>
  <c r="S945" i="3" s="1"/>
  <c r="AC945" i="3"/>
  <c r="Z945" i="3"/>
  <c r="AD945" i="3"/>
  <c r="AA945" i="3"/>
  <c r="U944" i="3" l="1"/>
  <c r="Y943" i="3"/>
  <c r="T945" i="3"/>
  <c r="D945" i="3" l="1"/>
  <c r="G945" i="3" s="1"/>
  <c r="AH945" i="3"/>
  <c r="E945" i="3"/>
  <c r="H945" i="3" s="1"/>
  <c r="AG945" i="3"/>
  <c r="F945" i="3" l="1"/>
  <c r="I945" i="3"/>
  <c r="J945" i="3"/>
  <c r="M945" i="3"/>
  <c r="N945" i="3" s="1"/>
  <c r="K945" i="3"/>
  <c r="AE945" i="3" s="1"/>
  <c r="V945" i="3" l="1"/>
  <c r="W945" i="3" s="1"/>
  <c r="A946" i="3"/>
  <c r="B946" i="3" s="1"/>
  <c r="L945" i="3"/>
  <c r="U945" i="3" l="1"/>
  <c r="Y944" i="3"/>
  <c r="P946" i="3"/>
  <c r="Q946" i="3" s="1"/>
  <c r="R946" i="3" s="1"/>
  <c r="S946" i="3" s="1"/>
  <c r="AC946" i="3"/>
  <c r="AA946" i="3"/>
  <c r="AD946" i="3"/>
  <c r="Z946" i="3"/>
  <c r="T946" i="3" l="1"/>
  <c r="E946" i="3" s="1"/>
  <c r="H946" i="3" s="1"/>
  <c r="K946" i="3" l="1"/>
  <c r="AE946" i="3" s="1"/>
  <c r="AG946" i="3"/>
  <c r="D946" i="3"/>
  <c r="AH946" i="3"/>
  <c r="F946" i="3" l="1"/>
  <c r="G946" i="3"/>
  <c r="V946" i="3"/>
  <c r="A947" i="3"/>
  <c r="B947" i="3" s="1"/>
  <c r="Z947" i="3" l="1"/>
  <c r="AC947" i="3"/>
  <c r="P947" i="3"/>
  <c r="Q947" i="3" s="1"/>
  <c r="R947" i="3" s="1"/>
  <c r="S947" i="3" s="1"/>
  <c r="AA947" i="3"/>
  <c r="AD947" i="3"/>
  <c r="I946" i="3"/>
  <c r="W946" i="3" s="1"/>
  <c r="J946" i="3"/>
  <c r="M946" i="3"/>
  <c r="N946" i="3" s="1"/>
  <c r="L946" i="3" l="1"/>
  <c r="T947" i="3"/>
  <c r="AH947" i="3" l="1"/>
  <c r="AG947" i="3"/>
  <c r="U946" i="3"/>
  <c r="E947" i="3" s="1"/>
  <c r="H947" i="3" s="1"/>
  <c r="Y945" i="3"/>
  <c r="D947" i="3" l="1"/>
  <c r="G947" i="3" s="1"/>
  <c r="K947" i="3"/>
  <c r="AE947" i="3" s="1"/>
  <c r="F947" i="3" l="1"/>
  <c r="V947" i="3"/>
  <c r="A948" i="3"/>
  <c r="B948" i="3" s="1"/>
  <c r="I947" i="3"/>
  <c r="J947" i="3"/>
  <c r="M947" i="3"/>
  <c r="N947" i="3" s="1"/>
  <c r="W947" i="3" l="1"/>
  <c r="L947" i="3"/>
  <c r="P948" i="3"/>
  <c r="Q948" i="3" s="1"/>
  <c r="R948" i="3" s="1"/>
  <c r="S948" i="3" s="1"/>
  <c r="AA948" i="3"/>
  <c r="AD948" i="3"/>
  <c r="Z948" i="3"/>
  <c r="AC948" i="3"/>
  <c r="U947" i="3" l="1"/>
  <c r="Y946" i="3"/>
  <c r="T948" i="3"/>
  <c r="AH948" i="3" s="1"/>
  <c r="AG948" i="3" l="1"/>
  <c r="E948" i="3"/>
  <c r="H948" i="3" s="1"/>
  <c r="D948" i="3"/>
  <c r="K948" i="3" l="1"/>
  <c r="AE948" i="3" s="1"/>
  <c r="F948" i="3"/>
  <c r="G948" i="3"/>
  <c r="I948" i="3" l="1"/>
  <c r="J948" i="3"/>
  <c r="M948" i="3"/>
  <c r="N948" i="3" s="1"/>
  <c r="V948" i="3"/>
  <c r="A949" i="3"/>
  <c r="B949" i="3" s="1"/>
  <c r="W948" i="3" l="1"/>
  <c r="L948" i="3"/>
  <c r="AD949" i="3"/>
  <c r="AA949" i="3"/>
  <c r="AC949" i="3"/>
  <c r="Z949" i="3"/>
  <c r="P949" i="3"/>
  <c r="Q949" i="3" s="1"/>
  <c r="R949" i="3" s="1"/>
  <c r="S949" i="3" s="1"/>
  <c r="U948" i="3" l="1"/>
  <c r="Y947" i="3"/>
  <c r="T949" i="3"/>
  <c r="AH949" i="3" s="1"/>
  <c r="AG949" i="3" l="1"/>
  <c r="D949" i="3"/>
  <c r="G949" i="3" s="1"/>
  <c r="E949" i="3"/>
  <c r="H949" i="3" s="1"/>
  <c r="K949" i="3" s="1"/>
  <c r="AE949" i="3" s="1"/>
  <c r="F949" i="3" l="1"/>
  <c r="I949" i="3"/>
  <c r="J949" i="3"/>
  <c r="M949" i="3"/>
  <c r="N949" i="3" s="1"/>
  <c r="V949" i="3"/>
  <c r="A950" i="3"/>
  <c r="B950" i="3" s="1"/>
  <c r="W949" i="3" l="1"/>
  <c r="L949" i="3"/>
  <c r="Z950" i="3"/>
  <c r="AC950" i="3"/>
  <c r="P950" i="3"/>
  <c r="Q950" i="3" s="1"/>
  <c r="R950" i="3" s="1"/>
  <c r="S950" i="3" s="1"/>
  <c r="AD950" i="3"/>
  <c r="AA950" i="3"/>
  <c r="T950" i="3" l="1"/>
  <c r="U949" i="3"/>
  <c r="Y948" i="3"/>
  <c r="D950" i="3" l="1"/>
  <c r="G950" i="3" s="1"/>
  <c r="AG950" i="3"/>
  <c r="E950" i="3"/>
  <c r="H950" i="3" s="1"/>
  <c r="K950" i="3" s="1"/>
  <c r="AE950" i="3" s="1"/>
  <c r="AH950" i="3"/>
  <c r="F950" i="3" l="1"/>
  <c r="I950" i="3"/>
  <c r="J950" i="3"/>
  <c r="M950" i="3"/>
  <c r="N950" i="3" s="1"/>
  <c r="V950" i="3"/>
  <c r="A951" i="3"/>
  <c r="B951" i="3" s="1"/>
  <c r="W950" i="3" l="1"/>
  <c r="P951" i="3"/>
  <c r="Q951" i="3" s="1"/>
  <c r="R951" i="3" s="1"/>
  <c r="S951" i="3" s="1"/>
  <c r="AA951" i="3"/>
  <c r="AC951" i="3"/>
  <c r="AD951" i="3"/>
  <c r="Z951" i="3"/>
  <c r="L950" i="3"/>
  <c r="T951" i="3" l="1"/>
  <c r="U950" i="3"/>
  <c r="Y949" i="3"/>
  <c r="D951" i="3" l="1"/>
  <c r="G951" i="3" s="1"/>
  <c r="AH951" i="3"/>
  <c r="AG951" i="3"/>
  <c r="E951" i="3"/>
  <c r="H951" i="3" s="1"/>
  <c r="K951" i="3" s="1"/>
  <c r="AE951" i="3" s="1"/>
  <c r="F951" i="3" l="1"/>
  <c r="I951" i="3"/>
  <c r="J951" i="3"/>
  <c r="M951" i="3"/>
  <c r="N951" i="3" s="1"/>
  <c r="V951" i="3"/>
  <c r="A952" i="3"/>
  <c r="B952" i="3" s="1"/>
  <c r="AC952" i="3" l="1"/>
  <c r="Z952" i="3"/>
  <c r="AD952" i="3"/>
  <c r="P952" i="3"/>
  <c r="Q952" i="3" s="1"/>
  <c r="R952" i="3" s="1"/>
  <c r="S952" i="3" s="1"/>
  <c r="AA952" i="3"/>
  <c r="W951" i="3"/>
  <c r="L951" i="3"/>
  <c r="U951" i="3" l="1"/>
  <c r="Y950" i="3"/>
  <c r="T952" i="3"/>
  <c r="D952" i="3" l="1"/>
  <c r="G952" i="3" s="1"/>
  <c r="E952" i="3"/>
  <c r="H952" i="3" s="1"/>
  <c r="AH952" i="3"/>
  <c r="AG952" i="3"/>
  <c r="F952" i="3" l="1"/>
  <c r="I952" i="3"/>
  <c r="J952" i="3"/>
  <c r="M952" i="3"/>
  <c r="N952" i="3" s="1"/>
  <c r="K952" i="3"/>
  <c r="AE952" i="3" s="1"/>
  <c r="V952" i="3" l="1"/>
  <c r="W952" i="3" s="1"/>
  <c r="A953" i="3"/>
  <c r="B953" i="3" s="1"/>
  <c r="L952" i="3"/>
  <c r="U952" i="3" l="1"/>
  <c r="Y951" i="3"/>
  <c r="Z953" i="3"/>
  <c r="AA953" i="3"/>
  <c r="AD953" i="3"/>
  <c r="P953" i="3"/>
  <c r="Q953" i="3" s="1"/>
  <c r="R953" i="3" s="1"/>
  <c r="S953" i="3" s="1"/>
  <c r="AC953" i="3"/>
  <c r="T953" i="3" l="1"/>
  <c r="AG953" i="3" s="1"/>
  <c r="E953" i="3" l="1"/>
  <c r="H953" i="3" s="1"/>
  <c r="K953" i="3" s="1"/>
  <c r="AE953" i="3" s="1"/>
  <c r="AH953" i="3"/>
  <c r="D953" i="3"/>
  <c r="G953" i="3" s="1"/>
  <c r="F953" i="3" l="1"/>
  <c r="I953" i="3"/>
  <c r="J953" i="3"/>
  <c r="M953" i="3"/>
  <c r="N953" i="3" s="1"/>
  <c r="V953" i="3"/>
  <c r="A954" i="3"/>
  <c r="B954" i="3" s="1"/>
  <c r="W953" i="3" l="1"/>
  <c r="L953" i="3"/>
  <c r="AA954" i="3"/>
  <c r="P954" i="3"/>
  <c r="Q954" i="3" s="1"/>
  <c r="R954" i="3" s="1"/>
  <c r="S954" i="3" s="1"/>
  <c r="AC954" i="3"/>
  <c r="Z954" i="3"/>
  <c r="T954" i="3" l="1"/>
  <c r="U953" i="3"/>
  <c r="Y952" i="3"/>
  <c r="E954" i="3" l="1"/>
  <c r="H954" i="3" s="1"/>
  <c r="K954" i="3" s="1"/>
  <c r="AE954" i="3" s="1"/>
  <c r="AG954" i="3"/>
  <c r="AH954" i="3"/>
  <c r="D954" i="3"/>
  <c r="G954" i="3" s="1"/>
  <c r="F954" i="3" l="1"/>
  <c r="V954" i="3"/>
  <c r="A955" i="3"/>
  <c r="B955" i="3" s="1"/>
  <c r="I954" i="3"/>
  <c r="J954" i="3"/>
  <c r="AD954" i="3" s="1"/>
  <c r="M954" i="3"/>
  <c r="N954" i="3" s="1"/>
  <c r="W954" i="3" l="1"/>
  <c r="L954" i="3"/>
  <c r="P955" i="3"/>
  <c r="Q955" i="3" s="1"/>
  <c r="R955" i="3" s="1"/>
  <c r="S955" i="3" s="1"/>
  <c r="AA955" i="3"/>
  <c r="AD955" i="3"/>
  <c r="AC955" i="3"/>
  <c r="Z955" i="3"/>
  <c r="U954" i="3" l="1"/>
  <c r="Y953" i="3"/>
  <c r="T955" i="3"/>
  <c r="AG955" i="3" s="1"/>
  <c r="AH955" i="3" l="1"/>
  <c r="D955" i="3"/>
  <c r="E955" i="3"/>
  <c r="H955" i="3" s="1"/>
  <c r="F955" i="3" l="1"/>
  <c r="G955" i="3"/>
  <c r="K955" i="3"/>
  <c r="AE955" i="3" s="1"/>
  <c r="I955" i="3" l="1"/>
  <c r="J955" i="3"/>
  <c r="M955" i="3"/>
  <c r="N955" i="3" s="1"/>
  <c r="V955" i="3"/>
  <c r="A956" i="3"/>
  <c r="B956" i="3" s="1"/>
  <c r="W955" i="3" l="1"/>
  <c r="L955" i="3"/>
  <c r="AA956" i="3"/>
  <c r="P956" i="3"/>
  <c r="Q956" i="3" s="1"/>
  <c r="R956" i="3" s="1"/>
  <c r="S956" i="3" s="1"/>
  <c r="Z956" i="3"/>
  <c r="AD956" i="3"/>
  <c r="AC956" i="3"/>
  <c r="U955" i="3" l="1"/>
  <c r="Y954" i="3"/>
  <c r="T956" i="3"/>
  <c r="AH956" i="3" s="1"/>
  <c r="AG956" i="3" l="1"/>
  <c r="E956" i="3"/>
  <c r="H956" i="3" s="1"/>
  <c r="K956" i="3" s="1"/>
  <c r="AE956" i="3" s="1"/>
  <c r="D956" i="3"/>
  <c r="V956" i="3" l="1"/>
  <c r="A957" i="3"/>
  <c r="B957" i="3" s="1"/>
  <c r="F956" i="3"/>
  <c r="G956" i="3"/>
  <c r="I956" i="3" l="1"/>
  <c r="W956" i="3" s="1"/>
  <c r="J956" i="3"/>
  <c r="M956" i="3"/>
  <c r="N956" i="3" s="1"/>
  <c r="AA957" i="3"/>
  <c r="AD957" i="3"/>
  <c r="Z957" i="3"/>
  <c r="P957" i="3"/>
  <c r="Q957" i="3" s="1"/>
  <c r="R957" i="3" s="1"/>
  <c r="S957" i="3" s="1"/>
  <c r="AC957" i="3"/>
  <c r="T957" i="3" l="1"/>
  <c r="L956" i="3"/>
  <c r="AG957" i="3" l="1"/>
  <c r="U956" i="3"/>
  <c r="E957" i="3" s="1"/>
  <c r="H957" i="3" s="1"/>
  <c r="AH957" i="3"/>
  <c r="Y955" i="3"/>
  <c r="D957" i="3" l="1"/>
  <c r="G957" i="3" s="1"/>
  <c r="K957" i="3"/>
  <c r="AE957" i="3" s="1"/>
  <c r="F957" i="3" l="1"/>
  <c r="I957" i="3"/>
  <c r="J957" i="3"/>
  <c r="M957" i="3"/>
  <c r="N957" i="3" s="1"/>
  <c r="V957" i="3"/>
  <c r="A958" i="3"/>
  <c r="B958" i="3" s="1"/>
  <c r="W957" i="3" l="1"/>
  <c r="L957" i="3"/>
  <c r="AC958" i="3"/>
  <c r="AA958" i="3"/>
  <c r="P958" i="3"/>
  <c r="Q958" i="3" s="1"/>
  <c r="R958" i="3" s="1"/>
  <c r="S958" i="3" s="1"/>
  <c r="Z958" i="3"/>
  <c r="AD958" i="3"/>
  <c r="T958" i="3" l="1"/>
  <c r="AH958" i="3" s="1"/>
  <c r="U957" i="3"/>
  <c r="Y956" i="3"/>
  <c r="AG958" i="3" l="1"/>
  <c r="D958" i="3"/>
  <c r="E958" i="3"/>
  <c r="H958" i="3" s="1"/>
  <c r="K958" i="3" l="1"/>
  <c r="AE958" i="3" s="1"/>
  <c r="F958" i="3"/>
  <c r="G958" i="3"/>
  <c r="V958" i="3" l="1"/>
  <c r="A959" i="3"/>
  <c r="B959" i="3" s="1"/>
  <c r="I958" i="3"/>
  <c r="J958" i="3"/>
  <c r="M958" i="3"/>
  <c r="N958" i="3" s="1"/>
  <c r="W958" i="3" l="1"/>
  <c r="L958" i="3"/>
  <c r="Z959" i="3"/>
  <c r="AC959" i="3"/>
  <c r="P959" i="3"/>
  <c r="Q959" i="3" s="1"/>
  <c r="R959" i="3" s="1"/>
  <c r="S959" i="3" s="1"/>
  <c r="AA959" i="3"/>
  <c r="AD959" i="3"/>
  <c r="T959" i="3" l="1"/>
  <c r="AH959" i="3" s="1"/>
  <c r="U958" i="3"/>
  <c r="Y957" i="3"/>
  <c r="AG959" i="3" l="1"/>
  <c r="E959" i="3"/>
  <c r="H959" i="3" s="1"/>
  <c r="K959" i="3" s="1"/>
  <c r="AE959" i="3" s="1"/>
  <c r="D959" i="3"/>
  <c r="F959" i="3" l="1"/>
  <c r="G959" i="3"/>
  <c r="V959" i="3"/>
  <c r="A960" i="3"/>
  <c r="B960" i="3" s="1"/>
  <c r="AD960" i="3" l="1"/>
  <c r="Z960" i="3"/>
  <c r="AA960" i="3"/>
  <c r="P960" i="3"/>
  <c r="Q960" i="3" s="1"/>
  <c r="R960" i="3" s="1"/>
  <c r="S960" i="3" s="1"/>
  <c r="AC960" i="3"/>
  <c r="I959" i="3"/>
  <c r="W959" i="3" s="1"/>
  <c r="J959" i="3"/>
  <c r="M959" i="3"/>
  <c r="N959" i="3" s="1"/>
  <c r="T960" i="3" l="1"/>
  <c r="L959" i="3"/>
  <c r="U959" i="3" l="1"/>
  <c r="E960" i="3" s="1"/>
  <c r="H960" i="3" s="1"/>
  <c r="AG960" i="3"/>
  <c r="AH960" i="3"/>
  <c r="Y958" i="3"/>
  <c r="D960" i="3" l="1"/>
  <c r="G960" i="3" s="1"/>
  <c r="K960" i="3"/>
  <c r="AE960" i="3" s="1"/>
  <c r="F960" i="3" l="1"/>
  <c r="I960" i="3"/>
  <c r="J960" i="3"/>
  <c r="M960" i="3"/>
  <c r="N960" i="3" s="1"/>
  <c r="V960" i="3"/>
  <c r="A961" i="3"/>
  <c r="B961" i="3" s="1"/>
  <c r="W960" i="3" l="1"/>
  <c r="P961" i="3"/>
  <c r="Q961" i="3" s="1"/>
  <c r="R961" i="3" s="1"/>
  <c r="S961" i="3" s="1"/>
  <c r="AD961" i="3"/>
  <c r="AC961" i="3"/>
  <c r="Z961" i="3"/>
  <c r="AA961" i="3"/>
  <c r="L960" i="3"/>
  <c r="U960" i="3" l="1"/>
  <c r="Y959" i="3"/>
  <c r="T961" i="3"/>
  <c r="D961" i="3" l="1"/>
  <c r="G961" i="3" s="1"/>
  <c r="AH961" i="3"/>
  <c r="AG961" i="3"/>
  <c r="E961" i="3"/>
  <c r="H961" i="3" s="1"/>
  <c r="K961" i="3" l="1"/>
  <c r="AE961" i="3" s="1"/>
  <c r="I961" i="3"/>
  <c r="J961" i="3"/>
  <c r="M961" i="3"/>
  <c r="N961" i="3" s="1"/>
  <c r="F961" i="3"/>
  <c r="L961" i="3" l="1"/>
  <c r="V961" i="3"/>
  <c r="W961" i="3" s="1"/>
  <c r="A962" i="3"/>
  <c r="B962" i="3" s="1"/>
  <c r="Z962" i="3" l="1"/>
  <c r="AA962" i="3"/>
  <c r="P962" i="3"/>
  <c r="Q962" i="3" s="1"/>
  <c r="R962" i="3" s="1"/>
  <c r="S962" i="3" s="1"/>
  <c r="AC962" i="3"/>
  <c r="AD962" i="3"/>
  <c r="U961" i="3"/>
  <c r="Y960" i="3"/>
  <c r="T962" i="3" l="1"/>
  <c r="E962" i="3" s="1"/>
  <c r="H962" i="3" s="1"/>
  <c r="AH962" i="3" l="1"/>
  <c r="K962" i="3"/>
  <c r="AE962" i="3" s="1"/>
  <c r="D962" i="3"/>
  <c r="AG962" i="3"/>
  <c r="V962" i="3" l="1"/>
  <c r="A963" i="3"/>
  <c r="B963" i="3" s="1"/>
  <c r="F962" i="3"/>
  <c r="G962" i="3"/>
  <c r="P963" i="3" l="1"/>
  <c r="Q963" i="3" s="1"/>
  <c r="R963" i="3" s="1"/>
  <c r="S963" i="3" s="1"/>
  <c r="AC963" i="3"/>
  <c r="Z963" i="3"/>
  <c r="AA963" i="3"/>
  <c r="AD963" i="3"/>
  <c r="I962" i="3"/>
  <c r="W962" i="3" s="1"/>
  <c r="J962" i="3"/>
  <c r="M962" i="3"/>
  <c r="N962" i="3" s="1"/>
  <c r="T963" i="3" l="1"/>
  <c r="L962" i="3"/>
  <c r="U962" i="3" l="1"/>
  <c r="E963" i="3" s="1"/>
  <c r="H963" i="3" s="1"/>
  <c r="AG963" i="3"/>
  <c r="AH963" i="3"/>
  <c r="Y961" i="3"/>
  <c r="D963" i="3" l="1"/>
  <c r="G963" i="3" s="1"/>
  <c r="K963" i="3"/>
  <c r="AE963" i="3" s="1"/>
  <c r="F963" i="3" l="1"/>
  <c r="I963" i="3"/>
  <c r="J963" i="3"/>
  <c r="M963" i="3"/>
  <c r="N963" i="3" s="1"/>
  <c r="V963" i="3"/>
  <c r="A964" i="3"/>
  <c r="B964" i="3" s="1"/>
  <c r="W963" i="3" l="1"/>
  <c r="L963" i="3"/>
  <c r="Z964" i="3"/>
  <c r="P964" i="3"/>
  <c r="Q964" i="3" s="1"/>
  <c r="R964" i="3" s="1"/>
  <c r="S964" i="3" s="1"/>
  <c r="AA964" i="3"/>
  <c r="AC964" i="3"/>
  <c r="U963" i="3" l="1"/>
  <c r="Y962" i="3"/>
  <c r="T964" i="3"/>
  <c r="D964" i="3" l="1"/>
  <c r="G964" i="3" s="1"/>
  <c r="E964" i="3"/>
  <c r="H964" i="3" s="1"/>
  <c r="K964" i="3" s="1"/>
  <c r="AE964" i="3" s="1"/>
  <c r="AH964" i="3"/>
  <c r="AG964" i="3"/>
  <c r="F964" i="3" l="1"/>
  <c r="I964" i="3"/>
  <c r="J964" i="3"/>
  <c r="AD964" i="3" s="1"/>
  <c r="M964" i="3"/>
  <c r="N964" i="3" s="1"/>
  <c r="V964" i="3"/>
  <c r="A965" i="3"/>
  <c r="B965" i="3" s="1"/>
  <c r="W964" i="3" l="1"/>
  <c r="L964" i="3"/>
  <c r="AC965" i="3"/>
  <c r="P965" i="3"/>
  <c r="Q965" i="3" s="1"/>
  <c r="R965" i="3" s="1"/>
  <c r="S965" i="3" s="1"/>
  <c r="AA965" i="3"/>
  <c r="Z965" i="3"/>
  <c r="U964" i="3" l="1"/>
  <c r="Y963" i="3"/>
  <c r="T965" i="3"/>
  <c r="AH965" i="3" s="1"/>
  <c r="AG965" i="3" l="1"/>
  <c r="E965" i="3"/>
  <c r="H965" i="3" s="1"/>
  <c r="D965" i="3"/>
  <c r="F965" i="3" l="1"/>
  <c r="G965" i="3"/>
  <c r="K965" i="3"/>
  <c r="AE965" i="3" s="1"/>
  <c r="V965" i="3" l="1"/>
  <c r="A966" i="3"/>
  <c r="B966" i="3" s="1"/>
  <c r="I965" i="3"/>
  <c r="J965" i="3"/>
  <c r="AD965" i="3" s="1"/>
  <c r="M965" i="3"/>
  <c r="N965" i="3" s="1"/>
  <c r="L965" i="3" l="1"/>
  <c r="P966" i="3"/>
  <c r="Q966" i="3" s="1"/>
  <c r="R966" i="3" s="1"/>
  <c r="S966" i="3" s="1"/>
  <c r="AA966" i="3"/>
  <c r="Z966" i="3"/>
  <c r="AC966" i="3"/>
  <c r="W965" i="3"/>
  <c r="T966" i="3" l="1"/>
  <c r="AG966" i="3" s="1"/>
  <c r="U965" i="3"/>
  <c r="Y964" i="3"/>
  <c r="E966" i="3" l="1"/>
  <c r="H966" i="3" s="1"/>
  <c r="D966" i="3"/>
  <c r="AH966" i="3"/>
  <c r="K966" i="3" l="1"/>
  <c r="AE966" i="3" s="1"/>
  <c r="F966" i="3"/>
  <c r="G966" i="3"/>
  <c r="I966" i="3" l="1"/>
  <c r="J966" i="3"/>
  <c r="AD966" i="3" s="1"/>
  <c r="M966" i="3"/>
  <c r="N966" i="3" s="1"/>
  <c r="V966" i="3"/>
  <c r="A967" i="3"/>
  <c r="B967" i="3" s="1"/>
  <c r="W966" i="3" l="1"/>
  <c r="L966" i="3"/>
  <c r="AA967" i="3"/>
  <c r="P967" i="3"/>
  <c r="Q967" i="3" s="1"/>
  <c r="R967" i="3" s="1"/>
  <c r="S967" i="3" s="1"/>
  <c r="AC967" i="3"/>
  <c r="Z967" i="3"/>
  <c r="U966" i="3" l="1"/>
  <c r="Y965" i="3"/>
  <c r="T967" i="3"/>
  <c r="E967" i="3" l="1"/>
  <c r="H967" i="3" s="1"/>
  <c r="K967" i="3" s="1"/>
  <c r="AE967" i="3" s="1"/>
  <c r="AH967" i="3"/>
  <c r="AG967" i="3"/>
  <c r="D967" i="3"/>
  <c r="V967" i="3" l="1"/>
  <c r="A968" i="3"/>
  <c r="B968" i="3" s="1"/>
  <c r="F967" i="3"/>
  <c r="G967" i="3"/>
  <c r="I967" i="3" l="1"/>
  <c r="W967" i="3" s="1"/>
  <c r="J967" i="3"/>
  <c r="AD967" i="3" s="1"/>
  <c r="M967" i="3"/>
  <c r="N967" i="3" s="1"/>
  <c r="Z968" i="3"/>
  <c r="AA968" i="3"/>
  <c r="P968" i="3"/>
  <c r="Q968" i="3" s="1"/>
  <c r="R968" i="3" s="1"/>
  <c r="S968" i="3" s="1"/>
  <c r="AC968" i="3"/>
  <c r="L967" i="3" l="1"/>
  <c r="T968" i="3"/>
  <c r="AH968" i="3" l="1"/>
  <c r="AG968" i="3"/>
  <c r="U967" i="3"/>
  <c r="E968" i="3" s="1"/>
  <c r="H968" i="3" s="1"/>
  <c r="Y966" i="3"/>
  <c r="K968" i="3" l="1"/>
  <c r="AE968" i="3" s="1"/>
  <c r="D968" i="3"/>
  <c r="V968" i="3" l="1"/>
  <c r="A969" i="3"/>
  <c r="B969" i="3" s="1"/>
  <c r="F968" i="3"/>
  <c r="G968" i="3"/>
  <c r="I968" i="3" l="1"/>
  <c r="W968" i="3" s="1"/>
  <c r="J968" i="3"/>
  <c r="AD968" i="3" s="1"/>
  <c r="M968" i="3"/>
  <c r="N968" i="3" s="1"/>
  <c r="AA969" i="3"/>
  <c r="Z969" i="3"/>
  <c r="P969" i="3"/>
  <c r="Q969" i="3" s="1"/>
  <c r="R969" i="3" s="1"/>
  <c r="S969" i="3" s="1"/>
  <c r="AC969" i="3"/>
  <c r="T969" i="3" l="1"/>
  <c r="L968" i="3"/>
  <c r="AH969" i="3" l="1"/>
  <c r="U968" i="3"/>
  <c r="D969" i="3" s="1"/>
  <c r="AG969" i="3"/>
  <c r="Y967" i="3"/>
  <c r="G969" i="3" l="1"/>
  <c r="E969" i="3"/>
  <c r="H969" i="3" s="1"/>
  <c r="F969" i="3" l="1"/>
  <c r="I969" i="3"/>
  <c r="J969" i="3"/>
  <c r="AD969" i="3" s="1"/>
  <c r="M969" i="3"/>
  <c r="N969" i="3" s="1"/>
  <c r="K969" i="3"/>
  <c r="AE969" i="3" s="1"/>
  <c r="V969" i="3" l="1"/>
  <c r="W969" i="3" s="1"/>
  <c r="A970" i="3"/>
  <c r="B970" i="3" s="1"/>
  <c r="L969" i="3"/>
  <c r="U969" i="3" l="1"/>
  <c r="Y968" i="3"/>
  <c r="AA970" i="3"/>
  <c r="P970" i="3"/>
  <c r="Q970" i="3" s="1"/>
  <c r="R970" i="3" s="1"/>
  <c r="S970" i="3" s="1"/>
  <c r="AC970" i="3"/>
  <c r="Z970" i="3"/>
  <c r="T970" i="3" l="1"/>
  <c r="E970" i="3" s="1"/>
  <c r="H970" i="3" s="1"/>
  <c r="AH970" i="3" l="1"/>
  <c r="K970" i="3"/>
  <c r="AE970" i="3" s="1"/>
  <c r="D970" i="3"/>
  <c r="AG970" i="3"/>
  <c r="V970" i="3" l="1"/>
  <c r="A971" i="3"/>
  <c r="B971" i="3" s="1"/>
  <c r="F970" i="3"/>
  <c r="G970" i="3"/>
  <c r="I970" i="3" l="1"/>
  <c r="W970" i="3" s="1"/>
  <c r="J970" i="3"/>
  <c r="AD970" i="3" s="1"/>
  <c r="M970" i="3"/>
  <c r="N970" i="3" s="1"/>
  <c r="P971" i="3"/>
  <c r="Q971" i="3" s="1"/>
  <c r="R971" i="3" s="1"/>
  <c r="S971" i="3" s="1"/>
  <c r="Z971" i="3"/>
  <c r="AC971" i="3"/>
  <c r="AA971" i="3"/>
  <c r="T971" i="3" l="1"/>
  <c r="L970" i="3"/>
  <c r="U970" i="3" l="1"/>
  <c r="E971" i="3" s="1"/>
  <c r="H971" i="3" s="1"/>
  <c r="AH971" i="3"/>
  <c r="AG971" i="3"/>
  <c r="Y969" i="3"/>
  <c r="K971" i="3" l="1"/>
  <c r="AE971" i="3" s="1"/>
  <c r="D971" i="3"/>
  <c r="V971" i="3" l="1"/>
  <c r="A972" i="3"/>
  <c r="B972" i="3" s="1"/>
  <c r="F971" i="3"/>
  <c r="G971" i="3"/>
  <c r="I971" i="3" l="1"/>
  <c r="W971" i="3" s="1"/>
  <c r="J971" i="3"/>
  <c r="AD971" i="3" s="1"/>
  <c r="M971" i="3"/>
  <c r="N971" i="3" s="1"/>
  <c r="AC972" i="3"/>
  <c r="Z972" i="3"/>
  <c r="P972" i="3"/>
  <c r="Q972" i="3" s="1"/>
  <c r="R972" i="3" s="1"/>
  <c r="S972" i="3" s="1"/>
  <c r="AA972" i="3"/>
  <c r="T972" i="3" l="1"/>
  <c r="L971" i="3"/>
  <c r="U971" i="3" l="1"/>
  <c r="D972" i="3" s="1"/>
  <c r="AH972" i="3"/>
  <c r="AG972" i="3"/>
  <c r="Y970" i="3"/>
  <c r="E972" i="3" l="1"/>
  <c r="H972" i="3" s="1"/>
  <c r="K972" i="3" s="1"/>
  <c r="AE972" i="3" s="1"/>
  <c r="G972" i="3"/>
  <c r="F972" i="3" l="1"/>
  <c r="V972" i="3"/>
  <c r="A973" i="3"/>
  <c r="B973" i="3" s="1"/>
  <c r="I972" i="3"/>
  <c r="J972" i="3"/>
  <c r="AD972" i="3" s="1"/>
  <c r="M972" i="3"/>
  <c r="N972" i="3" s="1"/>
  <c r="W972" i="3" l="1"/>
  <c r="L972" i="3"/>
  <c r="AC973" i="3"/>
  <c r="P973" i="3"/>
  <c r="Q973" i="3" s="1"/>
  <c r="R973" i="3" s="1"/>
  <c r="S973" i="3" s="1"/>
  <c r="Z973" i="3"/>
  <c r="AA973" i="3"/>
  <c r="U972" i="3" l="1"/>
  <c r="Y971" i="3"/>
  <c r="T973" i="3"/>
  <c r="AG973" i="3" s="1"/>
  <c r="D973" i="3" l="1"/>
  <c r="G973" i="3" s="1"/>
  <c r="E973" i="3"/>
  <c r="H973" i="3" s="1"/>
  <c r="K973" i="3" s="1"/>
  <c r="AE973" i="3" s="1"/>
  <c r="AH973" i="3"/>
  <c r="F973" i="3" l="1"/>
  <c r="I973" i="3"/>
  <c r="J973" i="3"/>
  <c r="AD973" i="3" s="1"/>
  <c r="M973" i="3"/>
  <c r="N973" i="3" s="1"/>
  <c r="V973" i="3"/>
  <c r="A974" i="3"/>
  <c r="B974" i="3" s="1"/>
  <c r="W973" i="3" l="1"/>
  <c r="L973" i="3"/>
  <c r="P974" i="3"/>
  <c r="Q974" i="3" s="1"/>
  <c r="R974" i="3" s="1"/>
  <c r="S974" i="3" s="1"/>
  <c r="AA974" i="3"/>
  <c r="Z974" i="3"/>
  <c r="AC974" i="3"/>
  <c r="T974" i="3" l="1"/>
  <c r="AG974" i="3" s="1"/>
  <c r="U973" i="3"/>
  <c r="Y972" i="3"/>
  <c r="AH974" i="3" l="1"/>
  <c r="E974" i="3"/>
  <c r="H974" i="3" s="1"/>
  <c r="D974" i="3"/>
  <c r="K974" i="3" l="1"/>
  <c r="AE974" i="3" s="1"/>
  <c r="F974" i="3"/>
  <c r="G974" i="3"/>
  <c r="I974" i="3" l="1"/>
  <c r="J974" i="3"/>
  <c r="AD974" i="3" s="1"/>
  <c r="M974" i="3"/>
  <c r="N974" i="3" s="1"/>
  <c r="V974" i="3"/>
  <c r="A975" i="3"/>
  <c r="B975" i="3" s="1"/>
  <c r="W974" i="3" l="1"/>
  <c r="L974" i="3"/>
  <c r="AD975" i="3"/>
  <c r="P975" i="3"/>
  <c r="Q975" i="3" s="1"/>
  <c r="R975" i="3" s="1"/>
  <c r="S975" i="3" s="1"/>
  <c r="AC975" i="3"/>
  <c r="Z975" i="3"/>
  <c r="AA975" i="3"/>
  <c r="U974" i="3" l="1"/>
  <c r="Y973" i="3"/>
  <c r="T975" i="3"/>
  <c r="D975" i="3" l="1"/>
  <c r="G975" i="3" s="1"/>
  <c r="AH975" i="3"/>
  <c r="E975" i="3"/>
  <c r="H975" i="3" s="1"/>
  <c r="K975" i="3" s="1"/>
  <c r="AE975" i="3" s="1"/>
  <c r="AG975" i="3"/>
  <c r="F975" i="3" l="1"/>
  <c r="V975" i="3"/>
  <c r="A976" i="3"/>
  <c r="B976" i="3" s="1"/>
  <c r="I975" i="3"/>
  <c r="J975" i="3"/>
  <c r="M975" i="3"/>
  <c r="N975" i="3" s="1"/>
  <c r="W975" i="3" l="1"/>
  <c r="L975" i="3"/>
  <c r="AA976" i="3"/>
  <c r="AC976" i="3"/>
  <c r="Z976" i="3"/>
  <c r="AD976" i="3"/>
  <c r="P976" i="3"/>
  <c r="Q976" i="3" s="1"/>
  <c r="R976" i="3" s="1"/>
  <c r="S976" i="3" s="1"/>
  <c r="U975" i="3" l="1"/>
  <c r="Y974" i="3"/>
  <c r="T976" i="3"/>
  <c r="AG976" i="3" s="1"/>
  <c r="AH976" i="3" l="1"/>
  <c r="E976" i="3"/>
  <c r="H976" i="3" s="1"/>
  <c r="D976" i="3"/>
  <c r="K976" i="3" l="1"/>
  <c r="AE976" i="3" s="1"/>
  <c r="F976" i="3"/>
  <c r="G976" i="3"/>
  <c r="I976" i="3" l="1"/>
  <c r="J976" i="3"/>
  <c r="M976" i="3"/>
  <c r="N976" i="3" s="1"/>
  <c r="V976" i="3"/>
  <c r="A977" i="3"/>
  <c r="B977" i="3" s="1"/>
  <c r="W976" i="3" l="1"/>
  <c r="L976" i="3"/>
  <c r="Z977" i="3"/>
  <c r="P977" i="3"/>
  <c r="Q977" i="3" s="1"/>
  <c r="R977" i="3" s="1"/>
  <c r="S977" i="3" s="1"/>
  <c r="AC977" i="3"/>
  <c r="AA977" i="3"/>
  <c r="AD977" i="3"/>
  <c r="T977" i="3" l="1"/>
  <c r="U976" i="3"/>
  <c r="Y975" i="3"/>
  <c r="E977" i="3" l="1"/>
  <c r="H977" i="3" s="1"/>
  <c r="K977" i="3" s="1"/>
  <c r="AE977" i="3" s="1"/>
  <c r="AG977" i="3"/>
  <c r="D977" i="3"/>
  <c r="G977" i="3" s="1"/>
  <c r="AH977" i="3"/>
  <c r="F977" i="3" l="1"/>
  <c r="I977" i="3"/>
  <c r="J977" i="3"/>
  <c r="M977" i="3"/>
  <c r="N977" i="3" s="1"/>
  <c r="V977" i="3"/>
  <c r="A978" i="3"/>
  <c r="B978" i="3" s="1"/>
  <c r="W977" i="3" l="1"/>
  <c r="L977" i="3"/>
  <c r="AC978" i="3"/>
  <c r="AD978" i="3"/>
  <c r="Z978" i="3"/>
  <c r="AA978" i="3"/>
  <c r="P978" i="3"/>
  <c r="Q978" i="3" s="1"/>
  <c r="R978" i="3" s="1"/>
  <c r="S978" i="3" s="1"/>
  <c r="T978" i="3" l="1"/>
  <c r="U977" i="3"/>
  <c r="Y976" i="3"/>
  <c r="D978" i="3" l="1"/>
  <c r="G978" i="3" s="1"/>
  <c r="E978" i="3"/>
  <c r="H978" i="3" s="1"/>
  <c r="K978" i="3" s="1"/>
  <c r="AE978" i="3" s="1"/>
  <c r="AH978" i="3"/>
  <c r="AG978" i="3"/>
  <c r="F978" i="3" l="1"/>
  <c r="I978" i="3"/>
  <c r="J978" i="3"/>
  <c r="M978" i="3"/>
  <c r="N978" i="3" s="1"/>
  <c r="V978" i="3"/>
  <c r="A979" i="3"/>
  <c r="B979" i="3" s="1"/>
  <c r="W978" i="3" l="1"/>
  <c r="L978" i="3"/>
  <c r="AC979" i="3"/>
  <c r="AA979" i="3"/>
  <c r="AD979" i="3"/>
  <c r="Z979" i="3"/>
  <c r="P979" i="3"/>
  <c r="Q979" i="3" s="1"/>
  <c r="R979" i="3" s="1"/>
  <c r="S979" i="3" s="1"/>
  <c r="T979" i="3" l="1"/>
  <c r="U978" i="3"/>
  <c r="Y977" i="3"/>
  <c r="D979" i="3" l="1"/>
  <c r="G979" i="3" s="1"/>
  <c r="AH979" i="3"/>
  <c r="E979" i="3"/>
  <c r="H979" i="3" s="1"/>
  <c r="K979" i="3" s="1"/>
  <c r="AE979" i="3" s="1"/>
  <c r="AG979" i="3"/>
  <c r="F979" i="3" l="1"/>
  <c r="V979" i="3"/>
  <c r="A980" i="3"/>
  <c r="B980" i="3" s="1"/>
  <c r="I979" i="3"/>
  <c r="J979" i="3"/>
  <c r="M979" i="3"/>
  <c r="N979" i="3" s="1"/>
  <c r="W979" i="3" l="1"/>
  <c r="L979" i="3"/>
  <c r="P980" i="3"/>
  <c r="Q980" i="3" s="1"/>
  <c r="R980" i="3" s="1"/>
  <c r="S980" i="3" s="1"/>
  <c r="AA980" i="3"/>
  <c r="AD980" i="3"/>
  <c r="AC980" i="3"/>
  <c r="Z980" i="3"/>
  <c r="U979" i="3" l="1"/>
  <c r="Y978" i="3"/>
  <c r="T980" i="3"/>
  <c r="AH980" i="3" s="1"/>
  <c r="D980" i="3" l="1"/>
  <c r="G980" i="3" s="1"/>
  <c r="E980" i="3"/>
  <c r="H980" i="3" s="1"/>
  <c r="K980" i="3" s="1"/>
  <c r="AE980" i="3" s="1"/>
  <c r="AG980" i="3"/>
  <c r="F980" i="3" l="1"/>
  <c r="I980" i="3"/>
  <c r="J980" i="3"/>
  <c r="M980" i="3"/>
  <c r="N980" i="3" s="1"/>
  <c r="V980" i="3"/>
  <c r="A981" i="3"/>
  <c r="B981" i="3" s="1"/>
  <c r="W980" i="3" l="1"/>
  <c r="L980" i="3"/>
  <c r="AD981" i="3"/>
  <c r="AA981" i="3"/>
  <c r="AC981" i="3"/>
  <c r="Z981" i="3"/>
  <c r="P981" i="3"/>
  <c r="Q981" i="3" s="1"/>
  <c r="R981" i="3" s="1"/>
  <c r="S981" i="3" s="1"/>
  <c r="U980" i="3" l="1"/>
  <c r="Y979" i="3"/>
  <c r="T981" i="3"/>
  <c r="AH981" i="3" s="1"/>
  <c r="D981" i="3" l="1"/>
  <c r="G981" i="3" s="1"/>
  <c r="AG981" i="3"/>
  <c r="E981" i="3"/>
  <c r="H981" i="3" s="1"/>
  <c r="F981" i="3" l="1"/>
  <c r="I981" i="3"/>
  <c r="J981" i="3"/>
  <c r="M981" i="3"/>
  <c r="N981" i="3" s="1"/>
  <c r="K981" i="3"/>
  <c r="AE981" i="3" s="1"/>
  <c r="V981" i="3" l="1"/>
  <c r="W981" i="3" s="1"/>
  <c r="A982" i="3"/>
  <c r="B982" i="3" s="1"/>
  <c r="L981" i="3"/>
  <c r="U981" i="3" l="1"/>
  <c r="Y980" i="3"/>
  <c r="P982" i="3"/>
  <c r="Q982" i="3" s="1"/>
  <c r="R982" i="3" s="1"/>
  <c r="S982" i="3" s="1"/>
  <c r="AD982" i="3"/>
  <c r="AC982" i="3"/>
  <c r="AA982" i="3"/>
  <c r="Z982" i="3"/>
  <c r="T982" i="3" l="1"/>
  <c r="E982" i="3" s="1"/>
  <c r="H982" i="3" s="1"/>
  <c r="AG982" i="3" l="1"/>
  <c r="AH982" i="3"/>
  <c r="D982" i="3"/>
  <c r="G982" i="3" s="1"/>
  <c r="K982" i="3"/>
  <c r="AE982" i="3" s="1"/>
  <c r="F982" i="3" l="1"/>
  <c r="I982" i="3"/>
  <c r="J982" i="3"/>
  <c r="M982" i="3"/>
  <c r="N982" i="3" s="1"/>
  <c r="V982" i="3"/>
  <c r="A983" i="3"/>
  <c r="B983" i="3" s="1"/>
  <c r="W982" i="3" l="1"/>
  <c r="L982" i="3"/>
  <c r="AD983" i="3"/>
  <c r="Z983" i="3"/>
  <c r="P983" i="3"/>
  <c r="Q983" i="3" s="1"/>
  <c r="R983" i="3" s="1"/>
  <c r="S983" i="3" s="1"/>
  <c r="AA983" i="3"/>
  <c r="AC983" i="3"/>
  <c r="U982" i="3" l="1"/>
  <c r="Y981" i="3"/>
  <c r="T983" i="3"/>
  <c r="AG983" i="3" s="1"/>
  <c r="E983" i="3" l="1"/>
  <c r="H983" i="3" s="1"/>
  <c r="K983" i="3" s="1"/>
  <c r="AE983" i="3" s="1"/>
  <c r="D983" i="3"/>
  <c r="AH983" i="3"/>
  <c r="F983" i="3" l="1"/>
  <c r="G983" i="3"/>
  <c r="M983" i="3" s="1"/>
  <c r="N983" i="3" s="1"/>
  <c r="V983" i="3"/>
  <c r="A984" i="3"/>
  <c r="B984" i="3" s="1"/>
  <c r="I983" i="3" l="1"/>
  <c r="W983" i="3" s="1"/>
  <c r="J983" i="3"/>
  <c r="L983" i="3" s="1"/>
  <c r="P984" i="3"/>
  <c r="Q984" i="3" s="1"/>
  <c r="R984" i="3" s="1"/>
  <c r="S984" i="3" s="1"/>
  <c r="AA984" i="3"/>
  <c r="Z984" i="3"/>
  <c r="AC984" i="3"/>
  <c r="U983" i="3" l="1"/>
  <c r="Y982" i="3"/>
  <c r="T984" i="3"/>
  <c r="E984" i="3" l="1"/>
  <c r="H984" i="3" s="1"/>
  <c r="K984" i="3" s="1"/>
  <c r="AE984" i="3" s="1"/>
  <c r="AG984" i="3"/>
  <c r="D984" i="3"/>
  <c r="AH984" i="3"/>
  <c r="F984" i="3" l="1"/>
  <c r="G984" i="3"/>
  <c r="V984" i="3"/>
  <c r="A985" i="3"/>
  <c r="B985" i="3" s="1"/>
  <c r="AA985" i="3" l="1"/>
  <c r="Z985" i="3"/>
  <c r="P985" i="3"/>
  <c r="Q985" i="3" s="1"/>
  <c r="R985" i="3" s="1"/>
  <c r="S985" i="3" s="1"/>
  <c r="AD985" i="3"/>
  <c r="AC985" i="3"/>
  <c r="I984" i="3"/>
  <c r="W984" i="3" s="1"/>
  <c r="J984" i="3"/>
  <c r="AD984" i="3" s="1"/>
  <c r="M984" i="3"/>
  <c r="N984" i="3" s="1"/>
  <c r="T985" i="3" l="1"/>
  <c r="L984" i="3"/>
  <c r="AG985" i="3" l="1"/>
  <c r="AH985" i="3"/>
  <c r="U984" i="3"/>
  <c r="D985" i="3" s="1"/>
  <c r="Y983" i="3"/>
  <c r="G985" i="3" l="1"/>
  <c r="E985" i="3"/>
  <c r="H985" i="3" s="1"/>
  <c r="I985" i="3" l="1"/>
  <c r="J985" i="3"/>
  <c r="M985" i="3"/>
  <c r="N985" i="3" s="1"/>
  <c r="F985" i="3"/>
  <c r="K985" i="3"/>
  <c r="AE985" i="3" s="1"/>
  <c r="L985" i="3" l="1"/>
  <c r="V985" i="3"/>
  <c r="W985" i="3" s="1"/>
  <c r="A986" i="3"/>
  <c r="B986" i="3" s="1"/>
  <c r="U985" i="3" l="1"/>
  <c r="Y984" i="3"/>
  <c r="AC986" i="3"/>
  <c r="P986" i="3"/>
  <c r="Q986" i="3" s="1"/>
  <c r="R986" i="3" s="1"/>
  <c r="S986" i="3" s="1"/>
  <c r="Z986" i="3"/>
  <c r="AD986" i="3"/>
  <c r="AA986" i="3"/>
  <c r="T986" i="3" l="1"/>
  <c r="E986" i="3" s="1"/>
  <c r="H986" i="3" s="1"/>
  <c r="AG986" i="3" l="1"/>
  <c r="K986" i="3"/>
  <c r="AE986" i="3" s="1"/>
  <c r="AH986" i="3"/>
  <c r="D986" i="3"/>
  <c r="F986" i="3" l="1"/>
  <c r="G986" i="3"/>
  <c r="V986" i="3"/>
  <c r="A987" i="3"/>
  <c r="B987" i="3" s="1"/>
  <c r="Z987" i="3" l="1"/>
  <c r="AC987" i="3"/>
  <c r="P987" i="3"/>
  <c r="Q987" i="3" s="1"/>
  <c r="R987" i="3" s="1"/>
  <c r="S987" i="3" s="1"/>
  <c r="AD987" i="3"/>
  <c r="AA987" i="3"/>
  <c r="I986" i="3"/>
  <c r="W986" i="3" s="1"/>
  <c r="J986" i="3"/>
  <c r="M986" i="3"/>
  <c r="N986" i="3" s="1"/>
  <c r="L986" i="3" l="1"/>
  <c r="T987" i="3"/>
  <c r="U986" i="3" l="1"/>
  <c r="E987" i="3" s="1"/>
  <c r="H987" i="3" s="1"/>
  <c r="AH987" i="3"/>
  <c r="AG987" i="3"/>
  <c r="Y985" i="3"/>
  <c r="K987" i="3" l="1"/>
  <c r="AE987" i="3" s="1"/>
  <c r="D987" i="3"/>
  <c r="V987" i="3" l="1"/>
  <c r="A988" i="3"/>
  <c r="B988" i="3" s="1"/>
  <c r="F987" i="3"/>
  <c r="G987" i="3"/>
  <c r="I987" i="3" l="1"/>
  <c r="W987" i="3" s="1"/>
  <c r="J987" i="3"/>
  <c r="M987" i="3"/>
  <c r="N987" i="3" s="1"/>
  <c r="AC988" i="3"/>
  <c r="Z988" i="3"/>
  <c r="AD988" i="3"/>
  <c r="AA988" i="3"/>
  <c r="P988" i="3"/>
  <c r="Q988" i="3" s="1"/>
  <c r="R988" i="3" s="1"/>
  <c r="S988" i="3" s="1"/>
  <c r="L987" i="3" l="1"/>
  <c r="T988" i="3"/>
  <c r="AH988" i="3" l="1"/>
  <c r="U987" i="3"/>
  <c r="E988" i="3" s="1"/>
  <c r="H988" i="3" s="1"/>
  <c r="AG988" i="3"/>
  <c r="Y986" i="3"/>
  <c r="D988" i="3" l="1"/>
  <c r="G988" i="3" s="1"/>
  <c r="K988" i="3"/>
  <c r="AE988" i="3" s="1"/>
  <c r="F988" i="3" l="1"/>
  <c r="I988" i="3"/>
  <c r="J988" i="3"/>
  <c r="M988" i="3"/>
  <c r="N988" i="3" s="1"/>
  <c r="V988" i="3"/>
  <c r="A989" i="3"/>
  <c r="B989" i="3" s="1"/>
  <c r="W988" i="3" l="1"/>
  <c r="L988" i="3"/>
  <c r="AC989" i="3"/>
  <c r="AD989" i="3"/>
  <c r="P989" i="3"/>
  <c r="Q989" i="3" s="1"/>
  <c r="R989" i="3" s="1"/>
  <c r="S989" i="3" s="1"/>
  <c r="Z989" i="3"/>
  <c r="AA989" i="3"/>
  <c r="T989" i="3" l="1"/>
  <c r="U988" i="3"/>
  <c r="Y987" i="3"/>
  <c r="D989" i="3" l="1"/>
  <c r="G989" i="3" s="1"/>
  <c r="AG989" i="3"/>
  <c r="E989" i="3"/>
  <c r="H989" i="3" s="1"/>
  <c r="AH989" i="3"/>
  <c r="F989" i="3" l="1"/>
  <c r="I989" i="3"/>
  <c r="J989" i="3"/>
  <c r="M989" i="3"/>
  <c r="N989" i="3" s="1"/>
  <c r="K989" i="3"/>
  <c r="AE989" i="3" s="1"/>
  <c r="L989" i="3" l="1"/>
  <c r="V989" i="3"/>
  <c r="W989" i="3" s="1"/>
  <c r="A990" i="3"/>
  <c r="B990" i="3" s="1"/>
  <c r="U989" i="3" l="1"/>
  <c r="Y988" i="3"/>
  <c r="AC990" i="3"/>
  <c r="AD990" i="3"/>
  <c r="AA990" i="3"/>
  <c r="Z990" i="3"/>
  <c r="P990" i="3"/>
  <c r="Q990" i="3" s="1"/>
  <c r="R990" i="3" s="1"/>
  <c r="S990" i="3" s="1"/>
  <c r="T990" i="3" l="1"/>
  <c r="E990" i="3" s="1"/>
  <c r="H990" i="3" s="1"/>
  <c r="AH990" i="3" l="1"/>
  <c r="D990" i="3"/>
  <c r="G990" i="3" s="1"/>
  <c r="AG990" i="3"/>
  <c r="K990" i="3"/>
  <c r="AE990" i="3" s="1"/>
  <c r="F990" i="3" l="1"/>
  <c r="V990" i="3"/>
  <c r="A991" i="3"/>
  <c r="B991" i="3" s="1"/>
  <c r="I990" i="3"/>
  <c r="J990" i="3"/>
  <c r="M990" i="3"/>
  <c r="N990" i="3" s="1"/>
  <c r="L990" i="3" l="1"/>
  <c r="W990" i="3"/>
  <c r="AA991" i="3"/>
  <c r="AD991" i="3"/>
  <c r="P991" i="3"/>
  <c r="Q991" i="3" s="1"/>
  <c r="R991" i="3" s="1"/>
  <c r="S991" i="3" s="1"/>
  <c r="Z991" i="3"/>
  <c r="AC991" i="3"/>
  <c r="U990" i="3" l="1"/>
  <c r="Y989" i="3"/>
  <c r="T991" i="3"/>
  <c r="D991" i="3" l="1"/>
  <c r="G991" i="3" s="1"/>
  <c r="E991" i="3"/>
  <c r="H991" i="3" s="1"/>
  <c r="K991" i="3" s="1"/>
  <c r="AE991" i="3" s="1"/>
  <c r="AG991" i="3"/>
  <c r="AH991" i="3"/>
  <c r="F991" i="3" l="1"/>
  <c r="V991" i="3"/>
  <c r="A992" i="3"/>
  <c r="B992" i="3" s="1"/>
  <c r="I991" i="3"/>
  <c r="J991" i="3"/>
  <c r="M991" i="3"/>
  <c r="N991" i="3" s="1"/>
  <c r="W991" i="3" l="1"/>
  <c r="L991" i="3"/>
  <c r="AC992" i="3"/>
  <c r="AD992" i="3"/>
  <c r="Z992" i="3"/>
  <c r="AA992" i="3"/>
  <c r="P992" i="3"/>
  <c r="Q992" i="3" s="1"/>
  <c r="R992" i="3" s="1"/>
  <c r="S992" i="3" s="1"/>
  <c r="U991" i="3" l="1"/>
  <c r="Y990" i="3"/>
  <c r="T992" i="3"/>
  <c r="AG992" i="3" s="1"/>
  <c r="D992" i="3" l="1"/>
  <c r="AH992" i="3"/>
  <c r="E992" i="3"/>
  <c r="H992" i="3" s="1"/>
  <c r="K992" i="3" s="1"/>
  <c r="AE992" i="3" s="1"/>
  <c r="F992" i="3" l="1"/>
  <c r="G992" i="3"/>
  <c r="M992" i="3" s="1"/>
  <c r="N992" i="3" s="1"/>
  <c r="V992" i="3"/>
  <c r="A993" i="3"/>
  <c r="B993" i="3" s="1"/>
  <c r="I992" i="3" l="1"/>
  <c r="W992" i="3" s="1"/>
  <c r="J992" i="3"/>
  <c r="L992" i="3" s="1"/>
  <c r="AD993" i="3"/>
  <c r="Z993" i="3"/>
  <c r="AA993" i="3"/>
  <c r="P993" i="3"/>
  <c r="Q993" i="3" s="1"/>
  <c r="R993" i="3" s="1"/>
  <c r="S993" i="3" s="1"/>
  <c r="AC993" i="3"/>
  <c r="U992" i="3" l="1"/>
  <c r="Y991" i="3"/>
  <c r="T993" i="3"/>
  <c r="AH993" i="3" s="1"/>
  <c r="D993" i="3" l="1"/>
  <c r="G993" i="3" s="1"/>
  <c r="E993" i="3"/>
  <c r="H993" i="3" s="1"/>
  <c r="K993" i="3" s="1"/>
  <c r="AE993" i="3" s="1"/>
  <c r="AG993" i="3"/>
  <c r="F993" i="3" l="1"/>
  <c r="V993" i="3"/>
  <c r="A994" i="3"/>
  <c r="B994" i="3" s="1"/>
  <c r="I993" i="3"/>
  <c r="J993" i="3"/>
  <c r="M993" i="3"/>
  <c r="N993" i="3" s="1"/>
  <c r="L993" i="3" l="1"/>
  <c r="W993" i="3"/>
  <c r="AA994" i="3"/>
  <c r="P994" i="3"/>
  <c r="Q994" i="3" s="1"/>
  <c r="R994" i="3" s="1"/>
  <c r="S994" i="3" s="1"/>
  <c r="Z994" i="3"/>
  <c r="AC994" i="3"/>
  <c r="U993" i="3" l="1"/>
  <c r="Y992" i="3"/>
  <c r="T994" i="3"/>
  <c r="AH994" i="3" s="1"/>
  <c r="E994" i="3" l="1"/>
  <c r="H994" i="3" s="1"/>
  <c r="K994" i="3" s="1"/>
  <c r="AE994" i="3" s="1"/>
  <c r="D994" i="3"/>
  <c r="AG994" i="3"/>
  <c r="F994" i="3" l="1"/>
  <c r="G994" i="3"/>
  <c r="J994" i="3" s="1"/>
  <c r="AD994" i="3" s="1"/>
  <c r="V994" i="3"/>
  <c r="A995" i="3"/>
  <c r="B995" i="3" s="1"/>
  <c r="M994" i="3" l="1"/>
  <c r="N994" i="3" s="1"/>
  <c r="I994" i="3"/>
  <c r="W994" i="3" s="1"/>
  <c r="L994" i="3"/>
  <c r="AA995" i="3"/>
  <c r="P995" i="3"/>
  <c r="Q995" i="3" s="1"/>
  <c r="R995" i="3" s="1"/>
  <c r="S995" i="3" s="1"/>
  <c r="AC995" i="3"/>
  <c r="Z995" i="3"/>
  <c r="T995" i="3" l="1"/>
  <c r="U994" i="3"/>
  <c r="Y993" i="3"/>
  <c r="D995" i="3" l="1"/>
  <c r="G995" i="3" s="1"/>
  <c r="E995" i="3"/>
  <c r="H995" i="3" s="1"/>
  <c r="K995" i="3" s="1"/>
  <c r="AE995" i="3" s="1"/>
  <c r="AH995" i="3"/>
  <c r="AG995" i="3"/>
  <c r="F995" i="3" l="1"/>
  <c r="I995" i="3"/>
  <c r="J995" i="3"/>
  <c r="AD995" i="3" s="1"/>
  <c r="M995" i="3"/>
  <c r="N995" i="3" s="1"/>
  <c r="V995" i="3"/>
  <c r="A996" i="3"/>
  <c r="B996" i="3" s="1"/>
  <c r="W995" i="3" l="1"/>
  <c r="L995" i="3"/>
  <c r="Z996" i="3"/>
  <c r="P996" i="3"/>
  <c r="Q996" i="3" s="1"/>
  <c r="R996" i="3" s="1"/>
  <c r="S996" i="3" s="1"/>
  <c r="AA996" i="3"/>
  <c r="AC996" i="3"/>
  <c r="U995" i="3" l="1"/>
  <c r="Y994" i="3"/>
  <c r="T996" i="3"/>
  <c r="D996" i="3" l="1"/>
  <c r="G996" i="3" s="1"/>
  <c r="AG996" i="3"/>
  <c r="E996" i="3"/>
  <c r="H996" i="3" s="1"/>
  <c r="K996" i="3" s="1"/>
  <c r="AE996" i="3" s="1"/>
  <c r="AH996" i="3"/>
  <c r="F996" i="3" l="1"/>
  <c r="I996" i="3"/>
  <c r="J996" i="3"/>
  <c r="AD996" i="3" s="1"/>
  <c r="M996" i="3"/>
  <c r="N996" i="3" s="1"/>
  <c r="V996" i="3"/>
  <c r="A997" i="3"/>
  <c r="B997" i="3" s="1"/>
  <c r="P997" i="3" l="1"/>
  <c r="Q997" i="3" s="1"/>
  <c r="R997" i="3" s="1"/>
  <c r="S997" i="3" s="1"/>
  <c r="Z997" i="3"/>
  <c r="AA997" i="3"/>
  <c r="AC997" i="3"/>
  <c r="L996" i="3"/>
  <c r="W996" i="3"/>
  <c r="U996" i="3" l="1"/>
  <c r="Y995" i="3"/>
  <c r="T997" i="3"/>
  <c r="AH997" i="3" s="1"/>
  <c r="AG997" i="3" l="1"/>
  <c r="D997" i="3"/>
  <c r="E997" i="3"/>
  <c r="H997" i="3" s="1"/>
  <c r="K997" i="3" s="1"/>
  <c r="AE997" i="3" s="1"/>
  <c r="F997" i="3" l="1"/>
  <c r="G997" i="3"/>
  <c r="I997" i="3" s="1"/>
  <c r="V997" i="3"/>
  <c r="A998" i="3"/>
  <c r="B998" i="3" s="1"/>
  <c r="J997" i="3" l="1"/>
  <c r="M997" i="3"/>
  <c r="N997" i="3" s="1"/>
  <c r="W997" i="3"/>
  <c r="Z998" i="3"/>
  <c r="P998" i="3"/>
  <c r="Q998" i="3" s="1"/>
  <c r="R998" i="3" s="1"/>
  <c r="S998" i="3" s="1"/>
  <c r="AC998" i="3"/>
  <c r="AA998" i="3"/>
  <c r="L997" i="3" l="1"/>
  <c r="U997" i="3" s="1"/>
  <c r="AD997" i="3"/>
  <c r="T998" i="3"/>
  <c r="Y996" i="3" l="1"/>
  <c r="AG998" i="3"/>
  <c r="E998" i="3"/>
  <c r="H998" i="3" s="1"/>
  <c r="K998" i="3" s="1"/>
  <c r="AE998" i="3" s="1"/>
  <c r="AH998" i="3"/>
  <c r="D998" i="3"/>
  <c r="V998" i="3" l="1"/>
  <c r="A999" i="3"/>
  <c r="B999" i="3" s="1"/>
  <c r="F998" i="3"/>
  <c r="G998" i="3"/>
  <c r="I998" i="3" l="1"/>
  <c r="W998" i="3" s="1"/>
  <c r="J998" i="3"/>
  <c r="AD998" i="3" s="1"/>
  <c r="M998" i="3"/>
  <c r="N998" i="3" s="1"/>
  <c r="Z999" i="3"/>
  <c r="AC999" i="3"/>
  <c r="AA999" i="3"/>
  <c r="P999" i="3"/>
  <c r="Q999" i="3" s="1"/>
  <c r="R999" i="3" s="1"/>
  <c r="S999" i="3" s="1"/>
  <c r="T999" i="3" l="1"/>
  <c r="L998" i="3"/>
  <c r="AG999" i="3" l="1"/>
  <c r="U998" i="3"/>
  <c r="D999" i="3" s="1"/>
  <c r="AH999" i="3"/>
  <c r="Y997" i="3"/>
  <c r="E999" i="3" l="1"/>
  <c r="H999" i="3" s="1"/>
  <c r="K999" i="3" s="1"/>
  <c r="AE999" i="3" s="1"/>
  <c r="G999" i="3"/>
  <c r="F999" i="3" l="1"/>
  <c r="I999" i="3"/>
  <c r="J999" i="3"/>
  <c r="AD999" i="3" s="1"/>
  <c r="M999" i="3"/>
  <c r="N999" i="3" s="1"/>
  <c r="V999" i="3"/>
  <c r="A1000" i="3"/>
  <c r="B1000" i="3" s="1"/>
  <c r="W999" i="3" l="1"/>
  <c r="L999" i="3"/>
  <c r="AC1000" i="3"/>
  <c r="P1000" i="3"/>
  <c r="Q1000" i="3" s="1"/>
  <c r="R1000" i="3" s="1"/>
  <c r="S1000" i="3" s="1"/>
  <c r="Z1000" i="3"/>
  <c r="AA1000" i="3"/>
  <c r="U999" i="3" l="1"/>
  <c r="Y998" i="3"/>
  <c r="T1000" i="3"/>
  <c r="AG1000" i="3" s="1"/>
  <c r="D1000" i="3" l="1"/>
  <c r="G1000" i="3" s="1"/>
  <c r="AH1000" i="3"/>
  <c r="E1000" i="3"/>
  <c r="H1000" i="3" s="1"/>
  <c r="K1000" i="3" s="1"/>
  <c r="AE1000" i="3" s="1"/>
  <c r="F1000" i="3" l="1"/>
  <c r="I1000" i="3"/>
  <c r="J1000" i="3"/>
  <c r="AD1000" i="3" s="1"/>
  <c r="M1000" i="3"/>
  <c r="N1000" i="3" s="1"/>
  <c r="V1000" i="3"/>
  <c r="A1001" i="3"/>
  <c r="B1001" i="3" s="1"/>
  <c r="W1000" i="3" l="1"/>
  <c r="L1000" i="3"/>
  <c r="P1001" i="3"/>
  <c r="Q1001" i="3" s="1"/>
  <c r="R1001" i="3" s="1"/>
  <c r="S1001" i="3" s="1"/>
  <c r="Z1001" i="3"/>
  <c r="AC1001" i="3"/>
  <c r="AA1001" i="3"/>
  <c r="U1000" i="3" l="1"/>
  <c r="Y999" i="3"/>
  <c r="T1001" i="3"/>
  <c r="D1001" i="3" l="1"/>
  <c r="G1001" i="3" s="1"/>
  <c r="E1001" i="3"/>
  <c r="H1001" i="3" s="1"/>
  <c r="AG1001" i="3"/>
  <c r="AH1001" i="3"/>
  <c r="F1001" i="3" l="1"/>
  <c r="I1001" i="3"/>
  <c r="J1001" i="3"/>
  <c r="AD1001" i="3" s="1"/>
  <c r="M1001" i="3"/>
  <c r="N1001" i="3" s="1"/>
  <c r="K1001" i="3"/>
  <c r="AE1001" i="3" s="1"/>
  <c r="V1001" i="3" l="1"/>
  <c r="W1001" i="3" s="1"/>
  <c r="A1002" i="3"/>
  <c r="B1002" i="3" s="1"/>
  <c r="L1001" i="3"/>
  <c r="U1001" i="3" l="1"/>
  <c r="Y1000" i="3"/>
  <c r="AA1002" i="3"/>
  <c r="Z1002" i="3"/>
  <c r="AC1002" i="3"/>
  <c r="P1002" i="3"/>
  <c r="Q1002" i="3" s="1"/>
  <c r="R1002" i="3" s="1"/>
  <c r="S1002" i="3" s="1"/>
  <c r="T1002" i="3" l="1"/>
  <c r="AG1002" i="3" s="1"/>
  <c r="AH1002" i="3" l="1"/>
  <c r="D1002" i="3"/>
  <c r="G1002" i="3" s="1"/>
  <c r="E1002" i="3"/>
  <c r="H1002" i="3" s="1"/>
  <c r="K1002" i="3" s="1"/>
  <c r="AE1002" i="3" s="1"/>
  <c r="F1002" i="3" l="1"/>
  <c r="I1002" i="3"/>
  <c r="J1002" i="3"/>
  <c r="AD1002" i="3" s="1"/>
  <c r="M1002" i="3"/>
  <c r="N1002" i="3" s="1"/>
  <c r="V1002" i="3"/>
  <c r="A1003" i="3"/>
  <c r="B1003" i="3" s="1"/>
  <c r="W1002" i="3" l="1"/>
  <c r="L1002" i="3"/>
  <c r="AC1003" i="3"/>
  <c r="P1003" i="3"/>
  <c r="Q1003" i="3" s="1"/>
  <c r="R1003" i="3" s="1"/>
  <c r="S1003" i="3" s="1"/>
  <c r="AA1003" i="3"/>
  <c r="Z1003" i="3"/>
  <c r="T1003" i="3" l="1"/>
  <c r="AH1003" i="3" s="1"/>
  <c r="U1002" i="3"/>
  <c r="Y1001" i="3"/>
  <c r="D1003" i="3" l="1"/>
  <c r="G1003" i="3" s="1"/>
  <c r="E1003" i="3"/>
  <c r="H1003" i="3" s="1"/>
  <c r="K1003" i="3" s="1"/>
  <c r="AE1003" i="3" s="1"/>
  <c r="AG1003" i="3"/>
  <c r="F1003" i="3" l="1"/>
  <c r="I1003" i="3"/>
  <c r="J1003" i="3"/>
  <c r="AD1003" i="3" s="1"/>
  <c r="M1003" i="3"/>
  <c r="N1003" i="3" s="1"/>
  <c r="V1003" i="3"/>
  <c r="W1003" i="3" s="1"/>
  <c r="A1004" i="3"/>
  <c r="B1004" i="3" s="1"/>
  <c r="L1003" i="3" l="1"/>
  <c r="P1004" i="3"/>
  <c r="Q1004" i="3" s="1"/>
  <c r="R1004" i="3" s="1"/>
  <c r="S1004" i="3" s="1"/>
  <c r="T1004" i="3" s="1"/>
  <c r="AA1004" i="3"/>
  <c r="Z1004" i="3"/>
  <c r="AC1004" i="3"/>
  <c r="AG1004" i="3" l="1"/>
  <c r="AH1004" i="3"/>
  <c r="U1003" i="3"/>
  <c r="D1004" i="3" s="1"/>
  <c r="Y1002" i="3"/>
  <c r="J48" i="1"/>
  <c r="L48" i="1"/>
  <c r="I48" i="1"/>
  <c r="J25" i="1"/>
  <c r="K48" i="1"/>
  <c r="M48" i="1"/>
  <c r="K25" i="1"/>
  <c r="I25" i="1"/>
  <c r="K27" i="1"/>
  <c r="I46" i="1"/>
  <c r="L46" i="1"/>
  <c r="M46" i="1"/>
  <c r="K46" i="1"/>
  <c r="J46" i="1"/>
  <c r="I27" i="1"/>
  <c r="J27" i="1"/>
  <c r="E1004" i="3" l="1"/>
  <c r="H1004" i="3" s="1"/>
  <c r="K1004" i="3" s="1"/>
  <c r="AE1004" i="3" s="1"/>
  <c r="C122" i="1"/>
  <c r="C155" i="1"/>
  <c r="C31" i="1"/>
  <c r="C126" i="1"/>
  <c r="C121" i="1"/>
  <c r="C124" i="1"/>
  <c r="C33" i="1"/>
  <c r="J47" i="1" s="1"/>
  <c r="C129" i="1"/>
  <c r="C130" i="1" s="1"/>
  <c r="M25" i="1"/>
  <c r="I72" i="7"/>
  <c r="I73" i="7" s="1"/>
  <c r="I70" i="7"/>
  <c r="G1004" i="3"/>
  <c r="B128" i="1"/>
  <c r="B123" i="1"/>
  <c r="B127" i="1"/>
  <c r="D155" i="1"/>
  <c r="B124" i="1"/>
  <c r="B126" i="1"/>
  <c r="B129" i="1"/>
  <c r="B125" i="1"/>
  <c r="D31" i="1"/>
  <c r="D33" i="1"/>
  <c r="J49" i="1" s="1"/>
  <c r="C146" i="1"/>
  <c r="C147" i="1" s="1"/>
  <c r="C138" i="1"/>
  <c r="C141" i="1"/>
  <c r="C143" i="1"/>
  <c r="C139" i="1"/>
  <c r="B140" i="1"/>
  <c r="B143" i="1"/>
  <c r="B142" i="1"/>
  <c r="B146" i="1"/>
  <c r="B144" i="1"/>
  <c r="B141" i="1"/>
  <c r="B145" i="1"/>
  <c r="M27" i="1"/>
  <c r="H72" i="7"/>
  <c r="H73" i="7" s="1"/>
  <c r="H70" i="7"/>
  <c r="F1004" i="3" l="1"/>
  <c r="L24" i="1" s="1"/>
  <c r="H49" i="1"/>
  <c r="D32" i="1"/>
  <c r="I1004" i="3"/>
  <c r="J1004" i="3"/>
  <c r="M1004" i="3"/>
  <c r="N1004" i="3" s="1"/>
  <c r="E31" i="7"/>
  <c r="H47" i="1"/>
  <c r="C32" i="1"/>
  <c r="V1004" i="3"/>
  <c r="L42" i="1" l="1"/>
  <c r="L1004" i="3"/>
  <c r="Y1004" i="3" s="1"/>
  <c r="AD1004" i="3"/>
  <c r="W1004" i="3"/>
  <c r="B135" i="1"/>
  <c r="B137" i="1"/>
  <c r="B133" i="1"/>
  <c r="B132" i="1" s="1"/>
  <c r="F133" i="1"/>
  <c r="F134" i="1"/>
  <c r="C133" i="1"/>
  <c r="C135" i="1"/>
  <c r="K24" i="1"/>
  <c r="K42" i="1"/>
  <c r="B150" i="1"/>
  <c r="B149" i="1" s="1"/>
  <c r="B154" i="1"/>
  <c r="B152" i="1"/>
  <c r="H117" i="7"/>
  <c r="E62" i="7"/>
  <c r="F62" i="7" s="1"/>
  <c r="E120" i="7"/>
  <c r="F120" i="7" s="1"/>
  <c r="E119" i="7"/>
  <c r="F119" i="7" s="1"/>
  <c r="E133" i="7"/>
  <c r="E63" i="7"/>
  <c r="F63" i="7" s="1"/>
  <c r="H59" i="7"/>
  <c r="L31" i="7"/>
  <c r="E65" i="7"/>
  <c r="F65" i="7" s="1"/>
  <c r="Y1003" i="3" l="1"/>
  <c r="M41" i="1" s="1"/>
  <c r="U1004" i="3"/>
  <c r="J43" i="1"/>
  <c r="I41" i="1"/>
  <c r="K41" i="1"/>
  <c r="H26" i="1"/>
  <c r="J31" i="7" s="1"/>
  <c r="L43" i="1"/>
  <c r="M43" i="1"/>
  <c r="K43" i="1"/>
  <c r="H43" i="1"/>
  <c r="I44" i="1"/>
  <c r="H44" i="1"/>
  <c r="J26" i="1"/>
  <c r="D161" i="1" s="1"/>
  <c r="M44" i="1"/>
  <c r="K26" i="1"/>
  <c r="K31" i="7" s="1"/>
  <c r="K23" i="1"/>
  <c r="L41" i="1"/>
  <c r="L44" i="1"/>
  <c r="I26" i="1"/>
  <c r="B163" i="1" s="1"/>
  <c r="J41" i="1"/>
  <c r="I43" i="1"/>
  <c r="J44" i="1"/>
  <c r="H28" i="1"/>
  <c r="F151" i="1" s="1"/>
  <c r="M31" i="7"/>
  <c r="E121" i="7"/>
  <c r="F121" i="7" s="1"/>
  <c r="H116" i="7"/>
  <c r="H58" i="7"/>
  <c r="E64" i="7"/>
  <c r="F64" i="7" s="1"/>
  <c r="S26" i="6" l="1"/>
  <c r="H55" i="7"/>
  <c r="H112" i="7"/>
  <c r="H53" i="7"/>
  <c r="P31" i="1"/>
  <c r="P32" i="1"/>
  <c r="I67" i="7"/>
  <c r="H41" i="1"/>
  <c r="K44" i="1"/>
  <c r="H45" i="1"/>
  <c r="M45" i="1"/>
  <c r="L45" i="1"/>
  <c r="K45" i="1"/>
  <c r="K28" i="1" s="1"/>
  <c r="M28" i="1" s="1"/>
  <c r="J45" i="1"/>
  <c r="J28" i="1"/>
  <c r="P30" i="1"/>
  <c r="F193" i="1"/>
  <c r="F190" i="1"/>
  <c r="F171" i="1"/>
  <c r="D186" i="1"/>
  <c r="F161" i="1"/>
  <c r="F163" i="1"/>
  <c r="D166" i="1"/>
  <c r="D192" i="1"/>
  <c r="D194" i="1"/>
  <c r="D196" i="1"/>
  <c r="D173" i="1"/>
  <c r="D168" i="1"/>
  <c r="D197" i="1"/>
  <c r="D159" i="1"/>
  <c r="D185" i="1"/>
  <c r="F194" i="1"/>
  <c r="D165" i="1"/>
  <c r="D191" i="1"/>
  <c r="F183" i="1"/>
  <c r="F162" i="1"/>
  <c r="F170" i="1"/>
  <c r="F184" i="1"/>
  <c r="F168" i="1"/>
  <c r="F169" i="1"/>
  <c r="D164" i="1"/>
  <c r="F21" i="1"/>
  <c r="D177" i="1"/>
  <c r="F197" i="1"/>
  <c r="D160" i="1"/>
  <c r="F196" i="1"/>
  <c r="D162" i="1"/>
  <c r="D170" i="1"/>
  <c r="D181" i="1"/>
  <c r="F164" i="1"/>
  <c r="F165" i="1"/>
  <c r="D190" i="1"/>
  <c r="F182" i="1"/>
  <c r="F166" i="1"/>
  <c r="H44" i="7"/>
  <c r="D171" i="1"/>
  <c r="D169" i="1"/>
  <c r="F172" i="1"/>
  <c r="D179" i="1"/>
  <c r="D189" i="1"/>
  <c r="D183" i="1"/>
  <c r="F160" i="1"/>
  <c r="F195" i="1"/>
  <c r="D193" i="1"/>
  <c r="F179" i="1"/>
  <c r="D188" i="1"/>
  <c r="F185" i="1"/>
  <c r="F159" i="1"/>
  <c r="F173" i="1"/>
  <c r="D163" i="1"/>
  <c r="D184" i="1"/>
  <c r="D195" i="1"/>
  <c r="F191" i="1"/>
  <c r="H11" i="7"/>
  <c r="F181" i="1"/>
  <c r="D180" i="1"/>
  <c r="F186" i="1"/>
  <c r="F180" i="1"/>
  <c r="F187" i="1"/>
  <c r="F178" i="1"/>
  <c r="D178" i="1"/>
  <c r="D182" i="1"/>
  <c r="F192" i="1"/>
  <c r="D174" i="1"/>
  <c r="F189" i="1"/>
  <c r="F167" i="1"/>
  <c r="D187" i="1"/>
  <c r="F188" i="1"/>
  <c r="D172" i="1"/>
  <c r="F174" i="1"/>
  <c r="F177" i="1"/>
  <c r="D167" i="1"/>
  <c r="B171" i="1"/>
  <c r="B181" i="1"/>
  <c r="B170" i="1"/>
  <c r="B186" i="1"/>
  <c r="B164" i="1"/>
  <c r="B175" i="1"/>
  <c r="B166" i="1"/>
  <c r="B174" i="1"/>
  <c r="B172" i="1"/>
  <c r="B184" i="1"/>
  <c r="H113" i="7"/>
  <c r="B180" i="1"/>
  <c r="B199" i="1"/>
  <c r="B188" i="1"/>
  <c r="B165" i="1"/>
  <c r="B185" i="1"/>
  <c r="B168" i="1"/>
  <c r="H114" i="7"/>
  <c r="B198" i="1"/>
  <c r="B197" i="1"/>
  <c r="B179" i="1"/>
  <c r="B191" i="1"/>
  <c r="C156" i="1"/>
  <c r="B192" i="1"/>
  <c r="E128" i="7"/>
  <c r="F128" i="7" s="1"/>
  <c r="B194" i="1"/>
  <c r="B173" i="1"/>
  <c r="B182" i="1"/>
  <c r="B190" i="1"/>
  <c r="B193" i="1"/>
  <c r="B176" i="1"/>
  <c r="B183" i="1"/>
  <c r="B195" i="1"/>
  <c r="F132" i="1"/>
  <c r="C134" i="1" s="1"/>
  <c r="B189" i="1"/>
  <c r="B162" i="1"/>
  <c r="B169" i="1"/>
  <c r="B196" i="1"/>
  <c r="H31" i="7"/>
  <c r="B161" i="1"/>
  <c r="B167" i="1"/>
  <c r="H54" i="7"/>
  <c r="B187" i="1"/>
  <c r="B158" i="1"/>
  <c r="H57" i="7"/>
  <c r="F150" i="1"/>
  <c r="B151" i="1" s="1"/>
  <c r="H115" i="7" l="1"/>
  <c r="S25" i="6"/>
  <c r="D31" i="7"/>
  <c r="D156" i="1"/>
  <c r="H19" i="7"/>
  <c r="C118" i="1"/>
  <c r="P29" i="1"/>
  <c r="B120" i="1"/>
  <c r="H56" i="7"/>
  <c r="E129" i="7"/>
  <c r="F129" i="7" s="1"/>
  <c r="B153" i="1"/>
  <c r="C132" i="1"/>
  <c r="C151" i="1"/>
  <c r="C149" i="1"/>
  <c r="B134" i="1"/>
  <c r="B1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M363040</author>
    <author>Léo Côme</author>
    <author>collectif</author>
  </authors>
  <commentList>
    <comment ref="M5" authorId="0" shapeId="0" xr:uid="{00000000-0006-0000-0000-000001000000}">
      <text>
        <r>
          <rPr>
            <sz val="8"/>
            <color rgb="FF000000"/>
            <rFont val="Tahoma"/>
            <family val="2"/>
          </rPr>
          <t xml:space="preserve">Définir les propriétés du 1er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1st diameter transition.
</t>
        </r>
        <r>
          <rPr>
            <i/>
            <sz val="8"/>
            <color rgb="FF000000"/>
            <rFont val="Tahoma"/>
            <family val="2"/>
          </rPr>
          <t>Leave this column blank if no skirt/shrink on the rocket.</t>
        </r>
      </text>
    </comment>
    <comment ref="O5" authorId="0" shapeId="0" xr:uid="{00000000-0006-0000-0000-000002000000}">
      <text>
        <r>
          <rPr>
            <sz val="8"/>
            <color rgb="FF000000"/>
            <rFont val="Tahoma"/>
            <family val="2"/>
          </rPr>
          <t xml:space="preserve">Définir les propriétés du 2e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2e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2nd diameter transition.
</t>
        </r>
        <r>
          <rPr>
            <i/>
            <sz val="8"/>
            <color rgb="FF000000"/>
            <rFont val="Tahoma"/>
            <family val="2"/>
          </rPr>
          <t>Leave this column blank if no 2nd skirt/shrink on the rocket.</t>
        </r>
      </text>
    </comment>
    <comment ref="L6" authorId="1" shapeId="0" xr:uid="{00000000-0006-0000-0000-000003000000}">
      <text>
        <r>
          <rPr>
            <b/>
            <sz val="8"/>
            <color rgb="FF000000"/>
            <rFont val="Tahoma"/>
            <family val="2"/>
          </rPr>
          <t>Hauteur</t>
        </r>
        <r>
          <rPr>
            <sz val="8"/>
            <color rgb="FF000000"/>
            <rFont val="Tahoma"/>
            <family val="2"/>
          </rPr>
          <t xml:space="preserve"> du changement de diamètre (cf. schéma sur fond bleu).
</t>
        </r>
        <r>
          <rPr>
            <i/>
            <sz val="8"/>
            <color rgb="FF000000"/>
            <rFont val="Tahoma"/>
            <family val="2"/>
          </rPr>
          <t>Height of the tronconical transition (cf. blue schematic).</t>
        </r>
      </text>
    </comment>
    <comment ref="L7" authorId="1" shapeId="0" xr:uid="{00000000-0006-0000-0000-000004000000}">
      <text>
        <r>
          <rPr>
            <sz val="8"/>
            <color indexed="8"/>
            <rFont val="Tahoma"/>
            <family val="2"/>
          </rPr>
          <t xml:space="preserve">Diamètre de la partie située </t>
        </r>
        <r>
          <rPr>
            <b/>
            <sz val="8"/>
            <color indexed="8"/>
            <rFont val="Tahoma"/>
            <family val="2"/>
          </rPr>
          <t>au dessus</t>
        </r>
        <r>
          <rPr>
            <sz val="8"/>
            <color indexed="8"/>
            <rFont val="Tahoma"/>
            <family val="2"/>
          </rPr>
          <t xml:space="preserve"> du changement de diamètre.
</t>
        </r>
        <r>
          <rPr>
            <i/>
            <sz val="8"/>
            <color indexed="8"/>
            <rFont val="Tahoma"/>
            <family val="2"/>
          </rPr>
          <t>Upper Diameter (cf. blue schematic).</t>
        </r>
      </text>
    </comment>
    <comment ref="L8" authorId="1" shapeId="0" xr:uid="{00000000-0006-0000-0000-000005000000}">
      <text>
        <r>
          <rPr>
            <sz val="8"/>
            <color indexed="8"/>
            <rFont val="Tahoma"/>
            <family val="2"/>
          </rPr>
          <t xml:space="preserve">Diamètre de la partie située </t>
        </r>
        <r>
          <rPr>
            <b/>
            <sz val="8"/>
            <color indexed="8"/>
            <rFont val="Tahoma"/>
            <family val="2"/>
          </rPr>
          <t>en dessous</t>
        </r>
        <r>
          <rPr>
            <sz val="8"/>
            <color indexed="8"/>
            <rFont val="Tahoma"/>
            <family val="2"/>
          </rPr>
          <t xml:space="preserve"> du changement de diamètre.
</t>
        </r>
        <r>
          <rPr>
            <i/>
            <sz val="8"/>
            <color indexed="8"/>
            <rFont val="Tahoma"/>
            <family val="2"/>
          </rPr>
          <t>Lower Diameter (cf. blue schematic).</t>
        </r>
      </text>
    </comment>
    <comment ref="L9" authorId="0" shapeId="0" xr:uid="{00000000-0006-0000-0000-000006000000}">
      <text>
        <r>
          <rPr>
            <sz val="8"/>
            <color rgb="FF000000"/>
            <rFont val="Tahoma"/>
            <family val="2"/>
          </rPr>
          <t xml:space="preserve">Distance entre la pointe de l'ogive et le haut du changement de diamètre.
</t>
        </r>
        <r>
          <rPr>
            <i/>
            <sz val="8"/>
            <color rgb="FF000000"/>
            <rFont val="Tahoma"/>
            <family val="2"/>
          </rPr>
          <t>Distance betwenn the tip of the nose cone and the top of the skirt/shrink.</t>
        </r>
      </text>
    </comment>
    <comment ref="B12" authorId="0" shapeId="0" xr:uid="{00000000-0006-0000-0000-000007000000}">
      <text>
        <r>
          <rPr>
            <sz val="8"/>
            <color indexed="8"/>
            <rFont val="Tahoma"/>
            <family val="2"/>
          </rPr>
          <t xml:space="preserve">Position du </t>
        </r>
        <r>
          <rPr>
            <b/>
            <sz val="8"/>
            <color indexed="8"/>
            <rFont val="Tahoma"/>
            <family val="2"/>
          </rPr>
          <t>Centre de Masse</t>
        </r>
        <r>
          <rPr>
            <sz val="8"/>
            <color indexed="8"/>
            <rFont val="Tahoma"/>
            <family val="2"/>
          </rPr>
          <t xml:space="preserve"> (CdG) par rapport à la pointe de l'ogive,
à mesurer ou estimer sur votre fusée.
</t>
        </r>
        <r>
          <rPr>
            <i/>
            <sz val="8"/>
            <color indexed="8"/>
            <rFont val="Tahoma"/>
            <family val="2"/>
          </rPr>
          <t>Position of Center of Mass (CoG) from the top of the nose cone.</t>
        </r>
      </text>
    </comment>
    <comment ref="S12" authorId="0" shapeId="0" xr:uid="{00000000-0006-0000-0000-000008000000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haut</t>
        </r>
        <r>
          <rPr>
            <sz val="8"/>
            <color indexed="8"/>
            <rFont val="Tahoma"/>
            <family val="2"/>
          </rPr>
          <t xml:space="preserve"> du propulseur (hors ergot).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 xml:space="preserve">top </t>
        </r>
        <r>
          <rPr>
            <i/>
            <sz val="8"/>
            <color indexed="8"/>
            <rFont val="Tahoma"/>
            <family val="2"/>
          </rPr>
          <t>of the motor.</t>
        </r>
      </text>
    </comment>
    <comment ref="B13" authorId="0" shapeId="0" xr:uid="{00000000-0006-0000-0000-000009000000}">
      <text>
        <r>
          <rPr>
            <sz val="8"/>
            <color indexed="8"/>
            <rFont val="Tahoma"/>
            <family val="2"/>
          </rPr>
          <t xml:space="preserve">Longueur totale du fuselage avec l'ogive,
hors propu hors antenne hors ailerons.
</t>
        </r>
        <r>
          <rPr>
            <i/>
            <sz val="8"/>
            <color indexed="8"/>
            <rFont val="Tahoma"/>
            <family val="2"/>
          </rPr>
          <t>Total length of the body including nose cone.</t>
        </r>
      </text>
    </comment>
    <comment ref="L13" authorId="1" shapeId="0" xr:uid="{00000000-0006-0000-0000-00000A000000}">
      <text>
        <r>
          <rPr>
            <sz val="8"/>
            <color rgb="FF000000"/>
            <rFont val="Tahoma"/>
            <family val="2"/>
          </rPr>
          <t xml:space="preserve">Centre de Masse du propulseur par rapport au haut du propulseur.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Motor Center of Mass, mesured from top of motor.</t>
        </r>
      </text>
    </comment>
    <comment ref="B14" authorId="0" shapeId="0" xr:uid="{00000000-0006-0000-0000-00000B000000}">
      <text>
        <r>
          <rPr>
            <sz val="8"/>
            <color indexed="8"/>
            <rFont val="Tahoma"/>
            <family val="2"/>
          </rPr>
          <t xml:space="preserve">Diamètre de référence, utilisé pour calculer : Cnα, Finesse, Marge Statique.
Par défaut D_réf = D_ogive ; on peux écraser avec le diamètre "principal".
</t>
        </r>
        <r>
          <rPr>
            <i/>
            <sz val="8"/>
            <color indexed="8"/>
            <rFont val="Tahoma"/>
            <family val="2"/>
          </rPr>
          <t>Reference Diameter, used to compute: Cnα, Finesse, Static Margin.
By default D_ref = D_ogive ; one can overwrtie with the "main" diameter.</t>
        </r>
      </text>
    </comment>
    <comment ref="S14" authorId="0" shapeId="0" xr:uid="{00000000-0006-0000-0000-00000C000000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L15" authorId="1" shapeId="0" xr:uid="{00000000-0006-0000-0000-00000D000000}">
      <text>
        <r>
          <rPr>
            <sz val="8"/>
            <color indexed="8"/>
            <rFont val="Tahoma"/>
            <family val="2"/>
          </rPr>
          <t xml:space="preserve">Les positions des </t>
        </r>
        <r>
          <rPr>
            <sz val="8"/>
            <color indexed="12"/>
            <rFont val="Tahoma"/>
            <family val="2"/>
          </rPr>
          <t>Centres de Masse</t>
        </r>
        <r>
          <rPr>
            <sz val="8"/>
            <color indexed="8"/>
            <rFont val="Tahoma"/>
            <family val="2"/>
          </rPr>
          <t xml:space="preserve"> de la fusée avec propulseur plein et vide
sont représentées sur le schéma de la fusée par un </t>
        </r>
        <r>
          <rPr>
            <sz val="8"/>
            <color indexed="12"/>
            <rFont val="Tahoma"/>
            <family val="2"/>
          </rPr>
          <t>segment vertical bleu</t>
        </r>
        <r>
          <rPr>
            <sz val="8"/>
            <color indexed="8"/>
            <rFont val="Tahoma"/>
            <family val="2"/>
          </rPr>
          <t xml:space="preserve">.
</t>
        </r>
        <r>
          <rPr>
            <i/>
            <sz val="8"/>
            <color indexed="8"/>
            <rFont val="Tahoma"/>
            <family val="2"/>
          </rPr>
          <t xml:space="preserve">Rocket Center of Mass are shown whith a </t>
        </r>
        <r>
          <rPr>
            <i/>
            <sz val="8"/>
            <color indexed="12"/>
            <rFont val="Tahoma"/>
            <family val="2"/>
          </rPr>
          <t>blue segment</t>
        </r>
        <r>
          <rPr>
            <i/>
            <sz val="8"/>
            <color indexed="8"/>
            <rFont val="Tahoma"/>
            <family val="2"/>
          </rPr>
          <t xml:space="preserve"> in Rocket schematic.</t>
        </r>
      </text>
    </comment>
    <comment ref="S17" authorId="0" shapeId="0" xr:uid="{00000000-0006-0000-0000-00000E000000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supérieur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upper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18" authorId="0" shapeId="0" xr:uid="{00000000-0006-0000-0000-00000F000000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S18" authorId="1" shapeId="0" xr:uid="{00000000-0006-0000-0000-000010000000}">
      <text>
        <r>
          <rPr>
            <sz val="8"/>
            <color indexed="8"/>
            <rFont val="Tahoma"/>
            <family val="2"/>
          </rPr>
          <t>Longueur de l'</t>
        </r>
        <r>
          <rPr>
            <b/>
            <sz val="8"/>
            <color indexed="8"/>
            <rFont val="Tahoma"/>
            <family val="2"/>
          </rPr>
          <t>e</t>
        </r>
        <r>
          <rPr>
            <b/>
            <u/>
            <sz val="8"/>
            <color indexed="8"/>
            <rFont val="Tahoma"/>
            <family val="2"/>
          </rPr>
          <t>m</t>
        </r>
        <r>
          <rPr>
            <b/>
            <sz val="8"/>
            <color indexed="8"/>
            <rFont val="Tahoma"/>
            <family val="2"/>
          </rPr>
          <t>planture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Root edge length of one fin.</t>
        </r>
      </text>
    </comment>
    <comment ref="S19" authorId="0" shapeId="0" xr:uid="{00000000-0006-0000-0000-000011000000}">
      <text>
        <r>
          <rPr>
            <sz val="8"/>
            <color rgb="FF000000"/>
            <rFont val="Tahoma"/>
            <family val="2"/>
          </rPr>
          <t xml:space="preserve">Distance entre la pointe de l'ogive et le point </t>
        </r>
        <r>
          <rPr>
            <b/>
            <sz val="8"/>
            <color rgb="FF000000"/>
            <rFont val="Tahoma"/>
            <family val="2"/>
          </rPr>
          <t>inférieur</t>
        </r>
        <r>
          <rPr>
            <sz val="8"/>
            <color rgb="FF000000"/>
            <rFont val="Tahoma"/>
            <family val="2"/>
          </rPr>
          <t xml:space="preserve"> de l'encastrement des ailerons.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rgb="FF000000"/>
            <rFont val="Tahoma"/>
            <family val="2"/>
          </rPr>
          <t>lower</t>
        </r>
        <r>
          <rPr>
            <i/>
            <sz val="8"/>
            <color rgb="FF000000"/>
            <rFont val="Tahoma"/>
            <family val="2"/>
          </rPr>
          <t xml:space="preserve"> point of fins attachment on the rocket.</t>
        </r>
      </text>
    </comment>
    <comment ref="B23" authorId="0" shapeId="0" xr:uid="{00000000-0006-0000-0000-000012000000}">
      <text>
        <r>
          <rPr>
            <sz val="8"/>
            <color indexed="8"/>
            <rFont val="Tahoma"/>
            <family val="2"/>
          </rPr>
          <t xml:space="preserve">Diamètre à la base de l'ogive.
</t>
        </r>
        <r>
          <rPr>
            <i/>
            <sz val="8"/>
            <color indexed="8"/>
            <rFont val="Tahoma"/>
            <family val="2"/>
          </rPr>
          <t>Diameter at the basement of the nose cone.</t>
        </r>
      </text>
    </comment>
    <comment ref="E25" authorId="1" shapeId="0" xr:uid="{00000000-0006-0000-0000-000013000000}">
      <text>
        <r>
          <rPr>
            <sz val="8"/>
            <color rgb="FF000000"/>
            <rFont val="Tahoma"/>
            <family val="2"/>
          </rPr>
          <t xml:space="preserve">Les parties masquées des ailerons du bas sont représentées 
</t>
        </r>
        <r>
          <rPr>
            <sz val="8"/>
            <color rgb="FF000000"/>
            <rFont val="Tahoma"/>
            <family val="2"/>
          </rPr>
          <t xml:space="preserve">sur le schéma de la fusée par des </t>
        </r>
        <r>
          <rPr>
            <sz val="8"/>
            <color rgb="FFFF0000"/>
            <rFont val="Tahoma"/>
            <family val="2"/>
          </rPr>
          <t>zones en rouge</t>
        </r>
        <r>
          <rPr>
            <sz val="8"/>
            <color rgb="FF000000"/>
            <rFont val="Tahoma"/>
            <family val="2"/>
          </rPr>
          <t xml:space="preserve">.
</t>
        </r>
        <r>
          <rPr>
            <sz val="8"/>
            <color rgb="FF000000"/>
            <rFont val="Tahoma"/>
            <family val="2"/>
          </rPr>
          <t xml:space="preserve">Ce sont les parties situées juste en dessous des ailerons du haut.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The fin-fin interaction zone is located just below the upper fins,
</t>
        </r>
        <r>
          <rPr>
            <i/>
            <sz val="8"/>
            <color rgb="FF000000"/>
            <rFont val="Tahoma"/>
            <family val="2"/>
          </rPr>
          <t xml:space="preserve">shown in </t>
        </r>
        <r>
          <rPr>
            <i/>
            <sz val="8"/>
            <color rgb="FFFF0000"/>
            <rFont val="Tahoma"/>
            <family val="2"/>
          </rPr>
          <t>red</t>
        </r>
        <r>
          <rPr>
            <i/>
            <sz val="8"/>
            <color rgb="FF000000"/>
            <rFont val="Tahoma"/>
            <family val="2"/>
          </rPr>
          <t xml:space="preserve"> in the Rocket schematic.</t>
        </r>
      </text>
    </comment>
    <comment ref="B27" authorId="1" shapeId="0" xr:uid="{00000000-0006-0000-0000-000014000000}">
      <text>
        <r>
          <rPr>
            <sz val="8"/>
            <color indexed="8"/>
            <rFont val="Tahoma"/>
            <family val="2"/>
          </rPr>
          <t>Longueur de l'</t>
        </r>
        <r>
          <rPr>
            <b/>
            <sz val="8"/>
            <color indexed="8"/>
            <rFont val="Tahoma"/>
            <family val="2"/>
          </rPr>
          <t>e</t>
        </r>
        <r>
          <rPr>
            <b/>
            <u/>
            <sz val="8"/>
            <color indexed="8"/>
            <rFont val="Tahoma"/>
            <family val="2"/>
          </rPr>
          <t>m</t>
        </r>
        <r>
          <rPr>
            <b/>
            <sz val="8"/>
            <color indexed="8"/>
            <rFont val="Tahoma"/>
            <family val="2"/>
          </rPr>
          <t>planture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Root edge length of one fin.</t>
        </r>
      </text>
    </comment>
    <comment ref="F27" authorId="0" shapeId="0" xr:uid="{00000000-0006-0000-0000-000015000000}">
      <text>
        <r>
          <rPr>
            <sz val="8"/>
            <color indexed="8"/>
            <rFont val="Tahoma"/>
            <family val="2"/>
          </rPr>
          <t xml:space="preserve">La </t>
        </r>
        <r>
          <rPr>
            <b/>
            <sz val="8"/>
            <color indexed="8"/>
            <rFont val="Tahoma"/>
            <family val="2"/>
          </rPr>
          <t>Finesse</t>
        </r>
        <r>
          <rPr>
            <sz val="8"/>
            <color indexed="8"/>
            <rFont val="Tahoma"/>
            <family val="2"/>
          </rPr>
          <t xml:space="preserve"> représente l'allongement de la fusée, rapport Longueur/Diamètre.
</t>
        </r>
        <r>
          <rPr>
            <i/>
            <sz val="8"/>
            <color indexed="8"/>
            <rFont val="Tahoma"/>
            <family val="2"/>
          </rPr>
          <t>Finesse represents the relative length of the rocket. Finesse = L/D</t>
        </r>
      </text>
    </comment>
    <comment ref="B28" authorId="1" shapeId="0" xr:uid="{00000000-0006-0000-0000-000016000000}">
      <text>
        <r>
          <rPr>
            <sz val="8"/>
            <color indexed="8"/>
            <rFont val="Tahoma"/>
            <family val="2"/>
          </rPr>
          <t xml:space="preserve">Longueur du </t>
        </r>
        <r>
          <rPr>
            <b/>
            <sz val="8"/>
            <color indexed="8"/>
            <rFont val="Tahoma"/>
            <family val="2"/>
          </rPr>
          <t>saumo</t>
        </r>
        <r>
          <rPr>
            <b/>
            <u/>
            <sz val="8"/>
            <color indexed="8"/>
            <rFont val="Tahoma"/>
            <family val="2"/>
          </rPr>
          <t>n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Tip edge length of one fin.</t>
        </r>
      </text>
    </comment>
    <comment ref="F28" authorId="0" shapeId="0" xr:uid="{00000000-0006-0000-0000-000017000000}">
      <text>
        <r>
          <rPr>
            <sz val="8"/>
            <color indexed="8"/>
            <rFont val="Tahoma"/>
            <family val="2"/>
          </rPr>
          <t xml:space="preserve">Le gradient de </t>
        </r>
        <r>
          <rPr>
            <b/>
            <sz val="8"/>
            <color indexed="16"/>
            <rFont val="Tahoma"/>
            <family val="2"/>
          </rPr>
          <t>Portance</t>
        </r>
        <r>
          <rPr>
            <sz val="8"/>
            <color indexed="8"/>
            <rFont val="Tahoma"/>
            <family val="2"/>
          </rPr>
          <t xml:space="preserve"> Cnα indique l'efficacité des ailerons.
Pour l'augmenter, il faut augmenter la taille des ailerons, et inversement.
</t>
        </r>
        <r>
          <rPr>
            <i/>
            <sz val="8"/>
            <color indexed="16"/>
            <rFont val="Tahoma"/>
            <family val="2"/>
          </rPr>
          <t>Lift</t>
        </r>
        <r>
          <rPr>
            <i/>
            <sz val="8"/>
            <color indexed="8"/>
            <rFont val="Tahoma"/>
            <family val="2"/>
          </rPr>
          <t xml:space="preserve"> gradient, Cnα, represents the fins efficiency. 
To increase it, one must increase the size of the fins, and conversely.</t>
        </r>
      </text>
    </comment>
    <comment ref="B29" authorId="1" shapeId="0" xr:uid="{00000000-0006-0000-0000-000018000000}">
      <text>
        <r>
          <rPr>
            <b/>
            <sz val="8"/>
            <color indexed="8"/>
            <rFont val="Tahoma"/>
            <family val="2"/>
          </rPr>
          <t>Flèche</t>
        </r>
        <r>
          <rPr>
            <sz val="8"/>
            <color indexed="8"/>
            <rFont val="Tahoma"/>
            <family val="2"/>
          </rPr>
          <t xml:space="preserve"> du bord d'attaque (négatif si besoin).
</t>
        </r>
        <r>
          <rPr>
            <i/>
            <sz val="8"/>
            <color indexed="8"/>
            <rFont val="Tahoma"/>
            <family val="2"/>
          </rPr>
          <t>Offset of the Leading edge.</t>
        </r>
      </text>
    </comment>
    <comment ref="F29" authorId="0" shapeId="0" xr:uid="{00000000-0006-0000-0000-000019000000}">
      <text>
        <r>
          <rPr>
            <sz val="8"/>
            <color rgb="FF000000"/>
            <rFont val="Tahoma"/>
            <family val="2"/>
          </rPr>
          <t xml:space="preserve">La </t>
        </r>
        <r>
          <rPr>
            <b/>
            <sz val="8"/>
            <color rgb="FF000000"/>
            <rFont val="Tahoma"/>
            <family val="2"/>
          </rPr>
          <t>Marge Statique</t>
        </r>
        <r>
          <rPr>
            <sz val="8"/>
            <color rgb="FF000000"/>
            <rFont val="Tahoma"/>
            <family val="2"/>
          </rPr>
          <t xml:space="preserve">, MS,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nombre de Diamètre de Référence, pour une fusée avec propulseur plein puis vide.
</t>
        </r>
        <r>
          <rPr>
            <sz val="8"/>
            <color rgb="FF000000"/>
            <rFont val="Tahoma"/>
            <family val="2"/>
          </rPr>
          <t xml:space="preserve">Pour augmenter la MS, il faut soit :
</t>
        </r>
        <r>
          <rPr>
            <sz val="8"/>
            <color rgb="FF000000"/>
            <rFont val="Tahoma"/>
            <family val="2"/>
          </rPr>
          <t xml:space="preserve">- abaisser le Centre de Portance (position des ailerons)
</t>
        </r>
        <r>
          <rPr>
            <sz val="8"/>
            <color rgb="FF000000"/>
            <rFont val="Tahoma"/>
            <family val="2"/>
          </rPr>
          <t xml:space="preserve">- rehausser le Centre de Masse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Static Margin, MS,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 xml:space="preserve">measured in number of reference diameter, for a rocket with loaded motor, then empty motor.
</t>
        </r>
        <r>
          <rPr>
            <i/>
            <sz val="8"/>
            <color rgb="FF000000"/>
            <rFont val="Tahoma"/>
            <family val="2"/>
          </rPr>
          <t xml:space="preserve">In order to increase MS, one must either:
</t>
        </r>
        <r>
          <rPr>
            <i/>
            <sz val="8"/>
            <color rgb="FF000000"/>
            <rFont val="Tahoma"/>
            <family val="2"/>
          </rPr>
          <t xml:space="preserve">- lower the Center of Pressure (position of fins)
</t>
        </r>
        <r>
          <rPr>
            <i/>
            <sz val="8"/>
            <color rgb="FF000000"/>
            <rFont val="Tahoma"/>
            <family val="2"/>
          </rPr>
          <t>- Move up the Center of Mass</t>
        </r>
      </text>
    </comment>
    <comment ref="B30" authorId="1" shapeId="0" xr:uid="{00000000-0006-0000-0000-00001A000000}">
      <text>
        <r>
          <rPr>
            <b/>
            <u/>
            <sz val="8"/>
            <color indexed="8"/>
            <rFont val="Tahoma"/>
            <family val="2"/>
          </rPr>
          <t>E</t>
        </r>
        <r>
          <rPr>
            <b/>
            <sz val="8"/>
            <color indexed="8"/>
            <rFont val="Tahoma"/>
            <family val="2"/>
          </rPr>
          <t>nvergure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Span of one fin.</t>
        </r>
      </text>
    </comment>
    <comment ref="F30" authorId="0" shapeId="0" xr:uid="{00000000-0006-0000-0000-00001B000000}">
      <text>
        <r>
          <rPr>
            <sz val="8"/>
            <color indexed="8"/>
            <rFont val="Tahoma"/>
            <family val="2"/>
          </rPr>
          <t xml:space="preserve">Le </t>
        </r>
        <r>
          <rPr>
            <b/>
            <sz val="8"/>
            <color indexed="8"/>
            <rFont val="Tahoma"/>
            <family val="2"/>
          </rPr>
          <t>produit</t>
        </r>
        <r>
          <rPr>
            <sz val="8"/>
            <color indexed="8"/>
            <rFont val="Tahoma"/>
            <family val="2"/>
          </rPr>
          <t xml:space="preserve"> MS*Cnα représente le </t>
        </r>
        <r>
          <rPr>
            <b/>
            <sz val="8"/>
            <color indexed="8"/>
            <rFont val="Tahoma"/>
            <family val="2"/>
          </rPr>
          <t>couple</t>
        </r>
        <r>
          <rPr>
            <sz val="8"/>
            <color indexed="8"/>
            <rFont val="Tahoma"/>
            <family val="2"/>
          </rPr>
          <t xml:space="preserve"> de rappel de la Portance.
Pour augmenter le produit, il faut augmenter la MS et/ou le Cnα, et inversement.
</t>
        </r>
        <r>
          <rPr>
            <i/>
            <sz val="8"/>
            <color indexed="8"/>
            <rFont val="Tahoma"/>
            <family val="2"/>
          </rPr>
          <t>The product MS*Cnα represents the lift torque.
To increase it, one must increase the Static Margin and/or the Cnα, and conversely.</t>
        </r>
      </text>
    </comment>
    <comment ref="F31" authorId="0" shapeId="0" xr:uid="{00000000-0006-0000-0000-00001C000000}">
      <text>
        <r>
          <rPr>
            <sz val="8"/>
            <color indexed="8"/>
            <rFont val="Tahoma"/>
            <family val="2"/>
          </rPr>
          <t xml:space="preserve">Le Xcp est la </t>
        </r>
        <r>
          <rPr>
            <b/>
            <sz val="8"/>
            <color indexed="16"/>
            <rFont val="Tahoma"/>
            <family val="2"/>
          </rPr>
          <t>position du Centre de Poussée Aérodynamique</t>
        </r>
        <r>
          <rPr>
            <sz val="8"/>
            <color indexed="8"/>
            <rFont val="Tahoma"/>
            <family val="2"/>
          </rPr>
          <t xml:space="preserve"> (CPA), 
aussi appelé Centre de Pression (CP), Centre Latéral de Poussée (CLP), 
ou Foyer, exprimée par rapport à la pointe de l'ogive.
</t>
        </r>
        <r>
          <rPr>
            <i/>
            <sz val="8"/>
            <color indexed="8"/>
            <rFont val="Tahoma"/>
            <family val="2"/>
          </rPr>
          <t>Xcp is the location of the Aerodynamics Center of Pressure, 
measured from the tip of the nose cone.</t>
        </r>
      </text>
    </comment>
    <comment ref="F32" authorId="2" shapeId="0" xr:uid="{00000000-0006-0000-0000-00001D000000}">
      <text>
        <r>
          <rPr>
            <sz val="8"/>
            <color rgb="FF000000"/>
            <rFont val="Tahoma"/>
            <family val="2"/>
          </rPr>
          <t xml:space="preserve">Cette Marge Statique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</t>
        </r>
        <r>
          <rPr>
            <b/>
            <sz val="8"/>
            <color rgb="FF000000"/>
            <rFont val="Tahoma"/>
            <family val="2"/>
          </rPr>
          <t>% de la Longueur</t>
        </r>
        <r>
          <rPr>
            <sz val="8"/>
            <color rgb="FF000000"/>
            <rFont val="Tahoma"/>
            <family val="2"/>
          </rPr>
          <t xml:space="preserve"> de la fusée, pour une fusée avec propulseur plein puis vide.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This Static Margin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>measured in % of rocket length, for a rocket with loaded motor, then empty motor.</t>
        </r>
      </text>
    </comment>
    <comment ref="B33" authorId="0" shapeId="0" xr:uid="{00000000-0006-0000-0000-00001E000000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inférieur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lower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34" authorId="0" shapeId="0" xr:uid="{00000000-0006-0000-0000-00001F000000}">
      <text>
        <r>
          <rPr>
            <sz val="8"/>
            <color indexed="8"/>
            <rFont val="Tahoma"/>
            <family val="2"/>
          </rPr>
          <t xml:space="preserve">Diamètre du fuselage au niveau des ailerons.
</t>
        </r>
        <r>
          <rPr>
            <i/>
            <sz val="8"/>
            <color indexed="8"/>
            <rFont val="Tahoma"/>
            <family val="2"/>
          </rPr>
          <t>Diameter of the body at the level of the fins.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Léo Côme</author>
    <author>Léo</author>
    <author>Sylvain Besson</author>
    <author>collectif</author>
  </authors>
  <commentList>
    <comment ref="B10" authorId="0" shapeId="0" xr:uid="{00000000-0006-0000-0100-000001000000}">
      <text>
        <r>
          <rPr>
            <sz val="8"/>
            <color indexed="8"/>
            <rFont val="Tahoma"/>
            <family val="2"/>
          </rPr>
          <t xml:space="preserve">Masse au décollage,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Lift-Off mass, to be changed in Stabilito sheet,
or with the buttons (then recheck stability).</t>
        </r>
      </text>
    </comment>
    <comment ref="B11" authorId="0" shapeId="0" xr:uid="{00000000-0006-0000-0100-000002000000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4" authorId="1" shapeId="0" xr:uid="{00000000-0006-0000-0100-000003000000}">
      <text>
        <r>
          <rPr>
            <sz val="8"/>
            <color indexed="8"/>
            <rFont val="Tahoma"/>
            <family val="2"/>
          </rPr>
          <t xml:space="preserve">La Surface de Référence utilisée pour le calcul de la Traînée est la surface projetée dans l'axe de la fusée. Ce </t>
        </r>
        <r>
          <rPr>
            <b/>
            <sz val="8"/>
            <color indexed="8"/>
            <rFont val="Tahoma"/>
            <family val="2"/>
          </rPr>
          <t>Maître Couple</t>
        </r>
        <r>
          <rPr>
            <sz val="8"/>
            <color indexed="8"/>
            <rFont val="Tahoma"/>
            <family val="2"/>
          </rPr>
          <t xml:space="preserve"> inclut donc l'épaisseur des ailerons.
</t>
        </r>
        <r>
          <rPr>
            <i/>
            <sz val="8"/>
            <color indexed="8"/>
            <rFont val="Tahoma"/>
            <family val="2"/>
          </rPr>
          <t>Reference Surface used to compute the Drag. It includes Fin thickness.</t>
        </r>
      </text>
    </comment>
    <comment ref="B15" authorId="1" shapeId="0" xr:uid="{00000000-0006-0000-0100-000004000000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  <comment ref="B18" authorId="1" shapeId="0" xr:uid="{00000000-0006-0000-0100-000005000000}">
      <text>
        <r>
          <rPr>
            <b/>
            <sz val="8"/>
            <color indexed="8"/>
            <rFont val="Tahoma"/>
            <family val="2"/>
          </rPr>
          <t>Longueur de la rampe de lancement.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i/>
            <sz val="8"/>
            <color indexed="8"/>
            <rFont val="Tahoma"/>
            <family val="2"/>
          </rPr>
          <t xml:space="preserve">                                          Length of the launch pad.</t>
        </r>
        <r>
          <rPr>
            <sz val="8"/>
            <color indexed="8"/>
            <rFont val="Tahoma"/>
            <family val="2"/>
          </rPr>
          <t xml:space="preserve">
Valeurs courantes :                  </t>
        </r>
        <r>
          <rPr>
            <i/>
            <sz val="8"/>
            <color indexed="8"/>
            <rFont val="Tahoma"/>
            <family val="2"/>
          </rPr>
          <t>Average values :</t>
        </r>
        <r>
          <rPr>
            <sz val="8"/>
            <color indexed="8"/>
            <rFont val="Tahoma"/>
            <family val="2"/>
          </rPr>
          <t xml:space="preserve">
MicroFusée                  : 1m  :    </t>
        </r>
        <r>
          <rPr>
            <i/>
            <sz val="8"/>
            <color indexed="8"/>
            <rFont val="Tahoma"/>
            <family val="2"/>
          </rPr>
          <t>Micro-rocket</t>
        </r>
        <r>
          <rPr>
            <sz val="8"/>
            <color indexed="8"/>
            <rFont val="Tahoma"/>
            <family val="2"/>
          </rPr>
          <t xml:space="preserve">
MiniFusée                    : 2m5:   </t>
        </r>
        <r>
          <rPr>
            <i/>
            <sz val="8"/>
            <color indexed="8"/>
            <rFont val="Tahoma"/>
            <family val="2"/>
          </rPr>
          <t xml:space="preserve"> Mini-rocket
Rocketry Challenge    </t>
        </r>
        <r>
          <rPr>
            <sz val="8"/>
            <color indexed="8"/>
            <rFont val="Tahoma"/>
            <family val="2"/>
          </rPr>
          <t xml:space="preserve">: 3m
Fusée Expérimentale  : 4m  :   </t>
        </r>
        <r>
          <rPr>
            <i/>
            <sz val="8"/>
            <color indexed="8"/>
            <rFont val="Tahoma"/>
            <family val="2"/>
          </rPr>
          <t>Experimental Rocket</t>
        </r>
      </text>
    </comment>
    <comment ref="B19" authorId="1" shapeId="0" xr:uid="{00000000-0006-0000-0100-000006000000}">
      <text>
        <r>
          <rPr>
            <sz val="8"/>
            <color indexed="8"/>
            <rFont val="Tahoma"/>
            <family val="2"/>
          </rPr>
          <t xml:space="preserve">Elévation de la rampe, angle par rapport à l'horizontale, "site" de la rampe, par défaut cet angle est à 80°.
</t>
        </r>
        <r>
          <rPr>
            <i/>
            <sz val="8"/>
            <color indexed="8"/>
            <rFont val="Tahoma"/>
            <family val="2"/>
          </rPr>
          <t>Angle of the lauch pad versus horizontal.</t>
        </r>
      </text>
    </comment>
    <comment ref="B20" authorId="1" shapeId="0" xr:uid="{00000000-0006-0000-0100-000007000000}">
      <text>
        <r>
          <rPr>
            <sz val="8"/>
            <color indexed="8"/>
            <rFont val="Tahoma"/>
            <family val="2"/>
          </rPr>
          <t xml:space="preserve">L'Altitude de la rampe est utilisée pour calculer la densité de l'air.
</t>
        </r>
        <r>
          <rPr>
            <i/>
            <sz val="8"/>
            <color indexed="8"/>
            <rFont val="Tahoma"/>
            <family val="2"/>
          </rPr>
          <t>Launch Pad Altitude is used to compute the air density.</t>
        </r>
      </text>
    </comment>
    <comment ref="D23" authorId="2" shapeId="0" xr:uid="{00000000-0006-0000-0100-000008000000}">
      <text>
        <r>
          <rPr>
            <b/>
            <sz val="8"/>
            <color rgb="FF000000"/>
            <rFont val="Tahoma"/>
            <family val="2"/>
          </rPr>
          <t>Objet largué</t>
        </r>
        <r>
          <rPr>
            <sz val="8"/>
            <color rgb="FF000000"/>
            <rFont val="Tahoma"/>
            <family val="2"/>
          </rPr>
          <t xml:space="preserve"> (CanSat, quasi-satellite, partie contenant l'œuf...)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Separated object (CanSat, quasi-satellite, payload/egg...)</t>
        </r>
      </text>
    </comment>
    <comment ref="K23" authorId="1" shapeId="0" xr:uid="{00000000-0006-0000-0100-000009000000}">
      <text>
        <r>
          <rPr>
            <sz val="8"/>
            <color indexed="8"/>
            <rFont val="Tahoma"/>
            <family val="2"/>
          </rPr>
          <t xml:space="preserve">La Vitesse en Sortie de Rampe doit être supérieure à 18m/s (MiniFusée) ou 20m/s (Fusée Exp.).
Alléger la fusée ou choisir un propu plus puissant.
</t>
        </r>
        <r>
          <rPr>
            <i/>
            <sz val="8"/>
            <color indexed="8"/>
            <rFont val="Tahoma"/>
            <family val="2"/>
          </rPr>
          <t>Speed at Launch Pad Exit must by higher than 18m/s (mini-rocket) or 20m/s (experimental rocket).
Lighten the rocket or choose a bigger motor.</t>
        </r>
      </text>
    </comment>
    <comment ref="C24" authorId="2" shapeId="0" xr:uid="{00000000-0006-0000-0100-00000A000000}">
      <text>
        <r>
          <rPr>
            <sz val="8"/>
            <color indexed="8"/>
            <rFont val="Tahoma"/>
            <family val="2"/>
          </rPr>
          <t xml:space="preserve">Masse de la fusée (sans satellite) sous parachute.
</t>
        </r>
        <r>
          <rPr>
            <i/>
            <sz val="8"/>
            <color indexed="8"/>
            <rFont val="Tahoma"/>
            <family val="2"/>
          </rPr>
          <t>Mass of the rocket (w/o sat) when it fall with a parachute.</t>
        </r>
      </text>
    </comment>
    <comment ref="M27" authorId="3" shapeId="0" xr:uid="{00000000-0006-0000-0100-00000B000000}">
      <text>
        <r>
          <rPr>
            <sz val="8"/>
            <color indexed="81"/>
            <rFont val="Tahoma"/>
            <family val="2"/>
          </rPr>
          <t xml:space="preserve">Efforts sur les fixations du parachute lors de sont ouverture.
</t>
        </r>
        <r>
          <rPr>
            <i/>
            <sz val="8"/>
            <color indexed="81"/>
            <rFont val="Tahoma"/>
            <family val="2"/>
          </rPr>
          <t>Stress on the parachute's bindings when it opened.</t>
        </r>
      </text>
    </comment>
    <comment ref="B28" authorId="1" shapeId="0" xr:uid="{00000000-0006-0000-0100-00000C000000}">
      <text>
        <r>
          <rPr>
            <sz val="8"/>
            <color indexed="8"/>
            <rFont val="Tahoma"/>
            <family val="2"/>
          </rPr>
          <t xml:space="preserve">Le Coefficient de Traînée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(ou Cd) d'un parachute est généralement compris entre 0.7 et 1.4 (1 par défaut).
</t>
        </r>
        <r>
          <rPr>
            <i/>
            <sz val="8"/>
            <color indexed="8"/>
            <rFont val="Tahoma"/>
            <family val="2"/>
          </rPr>
          <t xml:space="preserve">Parachute Drag Coefficient </t>
        </r>
        <r>
          <rPr>
            <b/>
            <i/>
            <sz val="8"/>
            <color indexed="8"/>
            <rFont val="Tahoma"/>
            <family val="2"/>
          </rPr>
          <t>Cx</t>
        </r>
        <r>
          <rPr>
            <i/>
            <sz val="8"/>
            <color indexed="8"/>
            <rFont val="Tahoma"/>
            <family val="2"/>
          </rPr>
          <t xml:space="preserve"> (or Cd) should be between 0.7 and 1.4, with a default value of 1.</t>
        </r>
      </text>
    </comment>
    <comment ref="M28" authorId="3" shapeId="0" xr:uid="{00000000-0006-0000-0100-00000D000000}">
      <text>
        <r>
          <rPr>
            <sz val="8"/>
            <color indexed="81"/>
            <rFont val="Tahoma"/>
            <family val="2"/>
          </rPr>
          <t>Energie libérée lors de l'impact balistique.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Balistic impact energy</t>
        </r>
      </text>
    </comment>
    <comment ref="B30" authorId="4" shapeId="0" xr:uid="{00000000-0006-0000-0100-00000E000000}">
      <text>
        <r>
          <rPr>
            <sz val="8"/>
            <color indexed="81"/>
            <rFont val="Tahoma"/>
            <family val="2"/>
          </rPr>
          <t xml:space="preserve">La Vitesse de descente sous parachute doit être comprise entre 5 &amp; 15m/s.
</t>
        </r>
        <r>
          <rPr>
            <i/>
            <sz val="8"/>
            <color indexed="81"/>
            <rFont val="Tahoma"/>
            <family val="2"/>
          </rPr>
          <t>Fall Velocity with parachute must be between 5 &amp; 15 m/s.</t>
        </r>
      </text>
    </comment>
    <comment ref="B33" authorId="0" shapeId="0" xr:uid="{00000000-0006-0000-0100-00000F000000}">
      <text>
        <r>
          <rPr>
            <sz val="8"/>
            <color indexed="8"/>
            <rFont val="Tahoma"/>
            <family val="2"/>
          </rPr>
          <t xml:space="preserve">Déviation due au vent lors de la descente sous parachute.
</t>
        </r>
        <r>
          <rPr>
            <i/>
            <sz val="8"/>
            <color indexed="8"/>
            <rFont val="Tahoma"/>
            <family val="2"/>
          </rPr>
          <t>Deviation due to wind during the fall over parachute.</t>
        </r>
      </text>
    </comment>
    <comment ref="F40" authorId="1" shapeId="0" xr:uid="{00000000-0006-0000-0100-000010000000}">
      <text>
        <r>
          <rPr>
            <sz val="8"/>
            <color indexed="8"/>
            <rFont val="Tahoma"/>
            <family val="2"/>
          </rPr>
          <t xml:space="preserve">Les Conditions Initiales permettent de simuler le 2e boost des fusée bi-étage ou des fusées larguant une masse (CanSat, bi-inerte). Laisser à 0 dans les autres cas.
</t>
        </r>
        <r>
          <rPr>
            <i/>
            <sz val="8"/>
            <color indexed="8"/>
            <rFont val="Tahoma"/>
            <family val="2"/>
          </rPr>
          <t>Initial Conditions can be used to simulate the 2nd boost of 2-stages rockets, or rocket releasing mass (Quasi-Satellites). Set them to 0 otherwise.</t>
        </r>
      </text>
    </comment>
    <comment ref="I40" authorId="1" shapeId="0" xr:uid="{00000000-0006-0000-0100-000011000000}">
      <text>
        <r>
          <rPr>
            <sz val="8"/>
            <color indexed="8"/>
            <rFont val="Tahoma"/>
            <family val="2"/>
          </rPr>
          <t xml:space="preserve">Altitude par rapport à la rampe, par rapport au sol.
</t>
        </r>
        <r>
          <rPr>
            <i/>
            <sz val="8"/>
            <color indexed="8"/>
            <rFont val="Tahoma"/>
            <family val="2"/>
          </rPr>
          <t>Altitude with respect to the earth surface.</t>
        </r>
      </text>
    </comment>
    <comment ref="K40" authorId="1" shapeId="0" xr:uid="{00000000-0006-0000-0100-000012000000}">
      <text>
        <r>
          <rPr>
            <sz val="8"/>
            <color indexed="8"/>
            <rFont val="Tahoma"/>
            <family val="2"/>
          </rPr>
          <t xml:space="preserve">La vitesse initiale doit être non-nulle dans le cas d'un 2e boost (allumage hors de la rampe, Portée et Altitude non-nulles).
</t>
        </r>
        <r>
          <rPr>
            <i/>
            <sz val="8"/>
            <color indexed="8"/>
            <rFont val="Tahoma"/>
            <family val="2"/>
          </rPr>
          <t>Initial Velocity must be non-zero in case of 2nd boost (ignition without launch pad, non-zero Range and Altitude).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M363040</author>
    <author>Léo Côme</author>
  </authors>
  <commentList>
    <comment ref="B10" authorId="0" shapeId="0" xr:uid="{00000000-0006-0000-0500-000001000000}">
      <text>
        <r>
          <rPr>
            <sz val="8"/>
            <color indexed="8"/>
            <rFont val="Tahoma"/>
            <family val="2"/>
          </rPr>
          <t xml:space="preserve">Masse sans propu,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Rocket mass without motor, to be changed in Stabilito sheet,
or with the buttons (then recheck stability).</t>
        </r>
      </text>
    </comment>
    <comment ref="B11" authorId="0" shapeId="0" xr:uid="{00000000-0006-0000-0500-000002000000}">
      <text>
        <r>
          <rPr>
            <sz val="8"/>
            <color indexed="8"/>
            <rFont val="Tahoma"/>
            <family val="2"/>
          </rPr>
          <t>Masse totale, à changer dans la feuille Stabilito,
ou à l'aide des boutons (revérifiez alors la stabilité).
Rocket total mass, to be changed in Stabilito sheet,
or with the buttons (then recheck stability).</t>
        </r>
      </text>
    </comment>
    <comment ref="B12" authorId="0" shapeId="0" xr:uid="{00000000-0006-0000-0500-000003000000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5" authorId="1" shapeId="0" xr:uid="{00000000-0006-0000-0500-000004000000}">
      <text>
        <r>
          <rPr>
            <sz val="8"/>
            <color indexed="8"/>
            <rFont val="Tahoma"/>
            <family val="2"/>
          </rPr>
          <t xml:space="preserve">Diamètre de référence. D_réf = D_ogive ou le diamètre "principal".
</t>
        </r>
        <r>
          <rPr>
            <i/>
            <sz val="8"/>
            <color indexed="8"/>
            <rFont val="Tahoma"/>
            <family val="2"/>
          </rPr>
          <t>Reference Diameter. D_ref = D_ogive or the "main" diameter.</t>
        </r>
      </text>
    </comment>
    <comment ref="B16" authorId="2" shapeId="0" xr:uid="{00000000-0006-0000-0500-000005000000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Léo</author>
  </authors>
  <commentList>
    <comment ref="E53" authorId="0" shapeId="0" xr:uid="{00000000-0006-0000-0600-000001000000}">
      <text>
        <r>
          <rPr>
            <sz val="8"/>
            <color indexed="81"/>
            <rFont val="Tahoma"/>
            <family val="2"/>
          </rPr>
          <t xml:space="preserve">Masse volumique de l'air (ρ) à P=1013,25hPa &amp; T=15°C.
Utilisée tel quel pour la descente sous parachute,
utilisée comme référence (z=0) pour le calcul de ρ en fonction de l'altitude dans le calcul de la trajectoire pas à pas.
Idéalement, valeur à adapter aux conditions atmosphériques au moment du lancement.
</t>
        </r>
        <r>
          <rPr>
            <i/>
            <sz val="8"/>
            <color indexed="81"/>
            <rFont val="Tahoma"/>
            <family val="2"/>
          </rPr>
          <t>Air density (ρ) at P=1013,25hPa &amp; T=15°C.</t>
        </r>
      </text>
    </comment>
  </commentList>
</comments>
</file>

<file path=xl/sharedStrings.xml><?xml version="1.0" encoding="utf-8"?>
<sst xmlns="http://schemas.openxmlformats.org/spreadsheetml/2006/main" count="1716" uniqueCount="560">
  <si>
    <t>TRAJECTO</t>
  </si>
  <si>
    <t>Français</t>
  </si>
  <si>
    <t>t</t>
  </si>
  <si>
    <t>x</t>
  </si>
  <si>
    <t>Club</t>
  </si>
  <si>
    <t>Cx</t>
  </si>
  <si>
    <t>Altitude</t>
  </si>
  <si>
    <t>m/s²</t>
  </si>
  <si>
    <t>kg/m3</t>
  </si>
  <si>
    <t>Surface para</t>
  </si>
  <si>
    <t>Cx parachute</t>
  </si>
  <si>
    <t>Temps</t>
  </si>
  <si>
    <t>Altitude z</t>
  </si>
  <si>
    <t>Accélération</t>
  </si>
  <si>
    <t>-</t>
  </si>
  <si>
    <t>Culmination, Apogée</t>
  </si>
  <si>
    <t>~0</t>
  </si>
  <si>
    <t>Forces</t>
  </si>
  <si>
    <t>Accélération longitudinale</t>
  </si>
  <si>
    <t>pas</t>
  </si>
  <si>
    <t>Beta</t>
  </si>
  <si>
    <t>BetaD</t>
  </si>
  <si>
    <t>Débit</t>
  </si>
  <si>
    <t>Trainée</t>
  </si>
  <si>
    <t>Rho</t>
  </si>
  <si>
    <t>Poussée</t>
  </si>
  <si>
    <t>i_P</t>
  </si>
  <si>
    <t>Poids</t>
  </si>
  <si>
    <t>R_rampe</t>
  </si>
  <si>
    <t>z</t>
  </si>
  <si>
    <t>non-gravit.</t>
  </si>
  <si>
    <t>gravitationnelle</t>
  </si>
  <si>
    <t>Ligne</t>
  </si>
  <si>
    <t>Temps (en s)</t>
  </si>
  <si>
    <t>Poussée (en N)</t>
  </si>
  <si>
    <t>Isard</t>
  </si>
  <si>
    <t>Chamois</t>
  </si>
  <si>
    <t>Pro75-2G</t>
  </si>
  <si>
    <t>espace@planete-sciences.org</t>
  </si>
  <si>
    <t>m</t>
  </si>
  <si>
    <t>http://www.planete-sciences.org/espace/basedoc/</t>
  </si>
  <si>
    <t>Surface Réf.</t>
  </si>
  <si>
    <t>Angle</t>
  </si>
  <si>
    <t>Léo Côme</t>
  </si>
  <si>
    <t>Notes :</t>
  </si>
  <si>
    <t>Aucun (2e ét. inerte)</t>
  </si>
  <si>
    <t>z para</t>
  </si>
  <si>
    <t>z sat</t>
  </si>
  <si>
    <t>xz max</t>
  </si>
  <si>
    <t>t para</t>
  </si>
  <si>
    <t>x para</t>
  </si>
  <si>
    <t>t sat</t>
  </si>
  <si>
    <t>x sat</t>
  </si>
  <si>
    <t>Moteurs Rocketry-Challenge, bug Surface_parachute, Satellite, bug Ooo</t>
  </si>
  <si>
    <t>STABILITO</t>
  </si>
  <si>
    <t>Type</t>
  </si>
  <si>
    <t>XCp</t>
  </si>
  <si>
    <t>MpropuPlein</t>
  </si>
  <si>
    <t>XpropuPlein</t>
  </si>
  <si>
    <t>MpropuVide</t>
  </si>
  <si>
    <t>XpropuVide</t>
  </si>
  <si>
    <t>Longueur</t>
  </si>
  <si>
    <t>Diamètre</t>
  </si>
  <si>
    <t>Min</t>
  </si>
  <si>
    <t>Max</t>
  </si>
  <si>
    <t>Finesse</t>
  </si>
  <si>
    <t>Cnα</t>
  </si>
  <si>
    <t>MS /L</t>
  </si>
  <si>
    <t>English</t>
  </si>
  <si>
    <t>X longi</t>
  </si>
  <si>
    <t>Y latéral</t>
  </si>
  <si>
    <t>- Y latéral</t>
  </si>
  <si>
    <t>Pointe</t>
  </si>
  <si>
    <t>Ogive</t>
  </si>
  <si>
    <t>chmt1 pt1</t>
  </si>
  <si>
    <t>chmt1 pt2</t>
  </si>
  <si>
    <t>chmt2 pt1</t>
  </si>
  <si>
    <t>chmt2 pt2</t>
  </si>
  <si>
    <t>culot</t>
  </si>
  <si>
    <t>aileron pt1</t>
  </si>
  <si>
    <t>aileron pt2</t>
  </si>
  <si>
    <t>aileron pt3</t>
  </si>
  <si>
    <t>aileron pt4</t>
  </si>
  <si>
    <t>Xcg plein</t>
  </si>
  <si>
    <t>Xcg vide</t>
  </si>
  <si>
    <t>Xcp</t>
  </si>
  <si>
    <t>canard pt1</t>
  </si>
  <si>
    <t>canard pt2</t>
  </si>
  <si>
    <t>canard pt3</t>
  </si>
  <si>
    <t>canard pt4</t>
  </si>
  <si>
    <t>masquage pt1</t>
  </si>
  <si>
    <t>masquage pt2</t>
  </si>
  <si>
    <t>masquage pt3</t>
  </si>
  <si>
    <t>masquage pt4</t>
  </si>
  <si>
    <t>cadre</t>
  </si>
  <si>
    <t>propu pt1</t>
  </si>
  <si>
    <t>propu pt2</t>
  </si>
  <si>
    <t>propu pt3</t>
  </si>
  <si>
    <t>propu pt4</t>
  </si>
  <si>
    <t>propu pt5</t>
  </si>
  <si>
    <t>MS (X)</t>
  </si>
  <si>
    <t>Cna (Y)</t>
  </si>
  <si>
    <t>2002-2007</t>
  </si>
  <si>
    <t>Stabilito V1.x</t>
  </si>
  <si>
    <t>Stabilito V2.0</t>
  </si>
  <si>
    <t>Stabilito V2.1</t>
  </si>
  <si>
    <t>Stabilito V2.2</t>
  </si>
  <si>
    <t>Trajecto V1.x</t>
  </si>
  <si>
    <t>Trajecto V2.x</t>
  </si>
  <si>
    <t>Trajecto V2.4</t>
  </si>
  <si>
    <t>Trajecto V2.5</t>
  </si>
  <si>
    <t>OpenOffice Calc</t>
  </si>
  <si>
    <t>µ-propu A8-3</t>
  </si>
  <si>
    <t>µ-propu B4-4</t>
  </si>
  <si>
    <t>µ-propu C6-3</t>
  </si>
  <si>
    <t>ISP</t>
  </si>
  <si>
    <t>I_total</t>
  </si>
  <si>
    <t>I_total_i (en N.s)</t>
  </si>
  <si>
    <t>Micro</t>
  </si>
  <si>
    <t>Fusex</t>
  </si>
  <si>
    <t>Mini</t>
  </si>
  <si>
    <t>0 satellite</t>
  </si>
  <si>
    <t>1 satellite</t>
  </si>
  <si>
    <t>http://creativecommons.org/licenses/by-sa/3.0/</t>
  </si>
  <si>
    <t>VL4</t>
  </si>
  <si>
    <t>Vsortie de rampe (&gt; 18 m/s)</t>
  </si>
  <si>
    <t>10 &lt; finesse &lt; 20</t>
  </si>
  <si>
    <t>15 &lt; Cn &lt; 30</t>
  </si>
  <si>
    <t>30 &lt; Ms x Cn &lt; 100</t>
  </si>
  <si>
    <t>RC1</t>
  </si>
  <si>
    <t>5 &lt; Vc &lt; 15 m/s</t>
  </si>
  <si>
    <t>RC2</t>
  </si>
  <si>
    <t>Temps de retard ralentisseur</t>
  </si>
  <si>
    <t>RC5</t>
  </si>
  <si>
    <t>Portée balistique (m)</t>
  </si>
  <si>
    <t>Temps de vol avec parachute (s)</t>
  </si>
  <si>
    <t>Culmination</t>
  </si>
  <si>
    <t>Accélération max (m/s²)</t>
  </si>
  <si>
    <t>Vmax (m/s)</t>
  </si>
  <si>
    <t>Altitude (m)</t>
  </si>
  <si>
    <t>Temps (s)</t>
  </si>
  <si>
    <t>Vitesse (m/s)</t>
  </si>
  <si>
    <t>Inclinaison</t>
  </si>
  <si>
    <t>Longueur totale</t>
  </si>
  <si>
    <t>Longueur rampe</t>
  </si>
  <si>
    <t>Epaisseur ailerons</t>
  </si>
  <si>
    <t>Nombre ailerons</t>
  </si>
  <si>
    <t>Type d'ogive</t>
  </si>
  <si>
    <t>Longueur ogive "l"</t>
  </si>
  <si>
    <t>Haut du propu "Prop"</t>
  </si>
  <si>
    <t>Diamètre "D"</t>
  </si>
  <si>
    <t>Position ailerons "L"</t>
  </si>
  <si>
    <t>M</t>
  </si>
  <si>
    <t>Microsoft Excel 2003 ou +</t>
  </si>
  <si>
    <t>s</t>
  </si>
  <si>
    <t>m/s</t>
  </si>
  <si>
    <t>°</t>
  </si>
  <si>
    <t>Transition A</t>
  </si>
  <si>
    <t>Transition B</t>
  </si>
  <si>
    <t>Jaune</t>
  </si>
  <si>
    <t>conique</t>
  </si>
  <si>
    <t>ogive</t>
  </si>
  <si>
    <t>parabole</t>
  </si>
  <si>
    <t>env pt4</t>
  </si>
  <si>
    <t>flèche pt2</t>
  </si>
  <si>
    <t>saumon pt3</t>
  </si>
  <si>
    <t>flèche milieu</t>
  </si>
  <si>
    <t>env milieu</t>
  </si>
  <si>
    <t>saumon milieu</t>
  </si>
  <si>
    <t>empl milieu</t>
  </si>
  <si>
    <t>empl pt4</t>
  </si>
  <si>
    <t>MS milieu</t>
  </si>
  <si>
    <t>MS Xcp</t>
  </si>
  <si>
    <t>1s</t>
  </si>
  <si>
    <t>t/T</t>
  </si>
  <si>
    <t>z/Z</t>
  </si>
  <si>
    <t>vertical</t>
  </si>
  <si>
    <t>horizontal</t>
  </si>
  <si>
    <t>flèches</t>
  </si>
  <si>
    <t>StabTraj</t>
  </si>
  <si>
    <t>StabTraj V3.0</t>
  </si>
  <si>
    <t>Trajecto</t>
  </si>
  <si>
    <t>µ-propu</t>
  </si>
  <si>
    <t>Minif</t>
  </si>
  <si>
    <t xml:space="preserve"> </t>
  </si>
  <si>
    <t>Événements</t>
  </si>
  <si>
    <t>Sous-échantillon 1Hz</t>
  </si>
  <si>
    <t>pos_x</t>
  </si>
  <si>
    <t>pos_z</t>
  </si>
  <si>
    <t>pos_xz</t>
  </si>
  <si>
    <t>vit_x</t>
  </si>
  <si>
    <t>vit_z</t>
  </si>
  <si>
    <t>vit_xz</t>
  </si>
  <si>
    <t>acc_x</t>
  </si>
  <si>
    <t>acc_z</t>
  </si>
  <si>
    <t>acc_xz</t>
  </si>
  <si>
    <t>Donneés au format des fiches de contrôles Fusex :</t>
  </si>
  <si>
    <t>Diamètre max</t>
  </si>
  <si>
    <t>Envergure totale</t>
  </si>
  <si>
    <t>sans</t>
  </si>
  <si>
    <t>vide</t>
  </si>
  <si>
    <t>plein</t>
  </si>
  <si>
    <t>Masse</t>
  </si>
  <si>
    <t>STAB 1</t>
  </si>
  <si>
    <t>STAB 2</t>
  </si>
  <si>
    <t>STAB 3</t>
  </si>
  <si>
    <t>STAB 4</t>
  </si>
  <si>
    <t>STAB 5</t>
  </si>
  <si>
    <t>Vsortie de rampe (&gt; 20 m/s)</t>
  </si>
  <si>
    <t>10 &lt; finesse &lt; 35</t>
  </si>
  <si>
    <t>15 &lt; Portance &lt; 40</t>
  </si>
  <si>
    <t>2*D &lt; Ms &lt; 6*D</t>
  </si>
  <si>
    <t>40 &lt; Ms x Cn &lt; 100</t>
  </si>
  <si>
    <t>Maître couple (m²)</t>
  </si>
  <si>
    <t>Site</t>
  </si>
  <si>
    <t>Temps balistique (s)</t>
  </si>
  <si>
    <t>Temps culmi (s)</t>
  </si>
  <si>
    <t>Altitude culmi (m)</t>
  </si>
  <si>
    <t>Vitesse culmi (m/s)</t>
  </si>
  <si>
    <t>CdG</t>
  </si>
  <si>
    <t>Diamètre max (40à200)</t>
  </si>
  <si>
    <t>Envergure totale &lt;720</t>
  </si>
  <si>
    <t>Masse &lt;15</t>
  </si>
  <si>
    <t>Pensez à modifier l'inclinaison pour avoir les 2 valeurs.</t>
  </si>
  <si>
    <t>Resist long aileron</t>
  </si>
  <si>
    <t>Resist transv aileron</t>
  </si>
  <si>
    <t>Compression 2.Acc.M</t>
  </si>
  <si>
    <t>N</t>
  </si>
  <si>
    <t>kg</t>
  </si>
  <si>
    <t>Surface aileron (m²)</t>
  </si>
  <si>
    <t>Masse aileron (kg)</t>
  </si>
  <si>
    <t>T dépotage +/-2s /appogée</t>
  </si>
  <si>
    <t>REC 2</t>
  </si>
  <si>
    <t>SEQ 5</t>
  </si>
  <si>
    <t>CR 1</t>
  </si>
  <si>
    <t>CR 2</t>
  </si>
  <si>
    <t>MEC 3</t>
  </si>
  <si>
    <t>Vitesse à l'ouverture m/s</t>
  </si>
  <si>
    <t>Surface parachute m²</t>
  </si>
  <si>
    <t xml:space="preserve">Choc à l'ouverture   N </t>
  </si>
  <si>
    <t>Choc à l'ouverture   kg</t>
  </si>
  <si>
    <t>Compression porte</t>
  </si>
  <si>
    <t>Masse au-dessus porte</t>
  </si>
  <si>
    <t>REC 8</t>
  </si>
  <si>
    <t>rad</t>
  </si>
  <si>
    <t>kg/s</t>
  </si>
  <si>
    <t>Méthodes d'intégration maison</t>
  </si>
  <si>
    <t>Wikipedia</t>
  </si>
  <si>
    <t>Pour se limiter à 1000 lignes, pas variable (les transitions sont-elles rigoureuses ?).</t>
  </si>
  <si>
    <t>Le Vol de la Fusée</t>
  </si>
  <si>
    <t>Beeman (2nd order, explicit variant)</t>
  </si>
  <si>
    <t>Newmark-beta (with γ=1/2 &amp; β=1/4) (2nd order)</t>
  </si>
  <si>
    <t>Spécificités de notre problème (2nd order mechanical ODE) :</t>
  </si>
  <si>
    <t>Verlet (2-stage 2nd order, symplectic, explicit)</t>
  </si>
  <si>
    <t>Trajec 2.x utililse un mélange douteux de différentes méthodes :</t>
  </si>
  <si>
    <t>Méthodes d'intégration explicites officielles</t>
  </si>
  <si>
    <t>On peut anticiper la Poussée (force qui varie le +) et la masse.</t>
  </si>
  <si>
    <t>L'Acc dépend de la vitesse (et peu de la position).</t>
  </si>
  <si>
    <t>Semi-implicit Euler (1st order, symplectic) [§ "Euler modifié" dans Le Vol de La Fusée]</t>
  </si>
  <si>
    <t>Explicit Euler (1st order, non-symplectic) [RK1]</t>
  </si>
  <si>
    <t>Velocity Verlet, Leapfrog variant (2nd order, symplectic, explicit)</t>
  </si>
  <si>
    <t>Midpoint, Modified Euler (2nd order, explicit) [§ "RK2" dans Le Vol de La Fusée]</t>
  </si>
  <si>
    <t>Heun, Improved Euler (2-stage 2nd-order, explicit, predictor-corrector) [Trapezoidal] [RK2]</t>
  </si>
  <si>
    <t>Les méthodes symplectic (conserve l'énergie) gardent-elles leur avantage quand la masse varie (ph propu) ?</t>
  </si>
  <si>
    <t>Sous Excel, on a les pas précédent (linear multistep possible), mais ordre élevé ou implicite sont à exclure.</t>
  </si>
  <si>
    <t>Multi{sub}step (RK), linear multi{previous}step (ADAMS), predictor-corrector, implicit …</t>
  </si>
  <si>
    <t>Dynamique de la fusée (repère sol)</t>
  </si>
  <si>
    <t>Trajecto/StabTraj corrige l'erreur de Trajec sur Xn+1 en utilisant la vitesse moyenne :</t>
  </si>
  <si>
    <t>Idéalement, il serait préférable de tout calculer à n+0.5 (m, V, β, ρ).</t>
  </si>
  <si>
    <t>Checksum :</t>
  </si>
  <si>
    <t>M_éjecté</t>
  </si>
  <si>
    <t>M_burnout</t>
  </si>
  <si>
    <t>m_poudre</t>
  </si>
  <si>
    <t>Wapiti</t>
  </si>
  <si>
    <t>Cariacou</t>
  </si>
  <si>
    <t>H2O</t>
  </si>
  <si>
    <t>H2O 2.0L 400g 6bar</t>
  </si>
  <si>
    <t>H2O 2.0L 600g 6bar</t>
  </si>
  <si>
    <t>H2O 2.0L 800g 6bar</t>
  </si>
  <si>
    <t>H2O 2.0L 1000g 6bar</t>
  </si>
  <si>
    <t>ABACO</t>
  </si>
  <si>
    <t>Masse totale</t>
  </si>
  <si>
    <t>Traînée prop</t>
  </si>
  <si>
    <t>Traînée bal</t>
  </si>
  <si>
    <t>1/2.ρ.S.Cx</t>
  </si>
  <si>
    <t>M ph prop</t>
  </si>
  <si>
    <t>M ph bal</t>
  </si>
  <si>
    <t>alt_prop</t>
  </si>
  <si>
    <t>V_prop</t>
  </si>
  <si>
    <t>t_culmi</t>
  </si>
  <si>
    <t>D_var</t>
  </si>
  <si>
    <t>Q_var</t>
  </si>
  <si>
    <t>m_var</t>
  </si>
  <si>
    <t>m_prop</t>
  </si>
  <si>
    <t>m_bal</t>
  </si>
  <si>
    <t>a_prop</t>
  </si>
  <si>
    <t>b_prop</t>
  </si>
  <si>
    <t>b_bal</t>
  </si>
  <si>
    <t>Alt prop</t>
  </si>
  <si>
    <t>V max</t>
  </si>
  <si>
    <t>LibreOffice Calc 3.4 ou +</t>
  </si>
  <si>
    <t>alt_culmi</t>
  </si>
  <si>
    <t>x_triomphe</t>
  </si>
  <si>
    <t>z_triomphe</t>
  </si>
  <si>
    <t>Arc de triomphe</t>
  </si>
  <si>
    <t>z_Eiffel</t>
  </si>
  <si>
    <t>x_Eiffel</t>
  </si>
  <si>
    <t>Tour Eiffel</t>
  </si>
  <si>
    <t>H2O 1.5L 300g 6bar</t>
  </si>
  <si>
    <t>H2O 1.5L 450g 6bar</t>
  </si>
  <si>
    <t>H2O 1.5L 600g 6bar</t>
  </si>
  <si>
    <t>H2O 1.5L 750g 6bar</t>
  </si>
  <si>
    <t>FUSEX</t>
  </si>
  <si>
    <t>MINIF PRO29-1G</t>
  </si>
  <si>
    <t>MINIF PRO24-3G</t>
  </si>
  <si>
    <t>MINIF PRO29-2G</t>
  </si>
  <si>
    <t>MINIF PRO24-1G</t>
  </si>
  <si>
    <t>Pro98-2G WT</t>
  </si>
  <si>
    <t>Pro98-3G WT</t>
  </si>
  <si>
    <t>p24-1G 24E22</t>
  </si>
  <si>
    <t>p24-1G 26E31</t>
  </si>
  <si>
    <t>p24-3G 60F50</t>
  </si>
  <si>
    <t>p24-3G 68F79</t>
  </si>
  <si>
    <t>p24-3G 68F240</t>
  </si>
  <si>
    <t>p24-3G 73F30</t>
  </si>
  <si>
    <t>p24-3G 74F85</t>
  </si>
  <si>
    <t>p24-3G 75F51</t>
  </si>
  <si>
    <t>StabTraj V3.1</t>
  </si>
  <si>
    <t>StabTraj V3.2</t>
  </si>
  <si>
    <t>µ-propu C6-3 x2</t>
  </si>
  <si>
    <t>µ-propu C6-3 x3</t>
  </si>
  <si>
    <t>Propu : +RC &amp; +Tintin 2013 : 3 p24-1G, p24-3G 75F51 &amp; 60F50, Pro98-2G &amp; 3G WT</t>
  </si>
  <si>
    <t>Propu : +multi-µ-fu, -Wapiti, warning Cariacou, "Rufina"</t>
  </si>
  <si>
    <t>Donneés au format des fiches de lancement Fusex :</t>
  </si>
  <si>
    <t>Projet</t>
  </si>
  <si>
    <t>Chef de projet</t>
  </si>
  <si>
    <t>Date</t>
  </si>
  <si>
    <t>Moteur</t>
  </si>
  <si>
    <t>Virole</t>
  </si>
  <si>
    <t>MECANIQUE</t>
  </si>
  <si>
    <t xml:space="preserve">l = </t>
  </si>
  <si>
    <t xml:space="preserve">D = </t>
  </si>
  <si>
    <t>Dj =</t>
  </si>
  <si>
    <t xml:space="preserve">Dr = </t>
  </si>
  <si>
    <t xml:space="preserve">m = </t>
  </si>
  <si>
    <t>Epaisseur :</t>
  </si>
  <si>
    <t>Nb Aileron</t>
  </si>
  <si>
    <t>Type ogive</t>
  </si>
  <si>
    <t>ogivale</t>
  </si>
  <si>
    <t>parabolique</t>
  </si>
  <si>
    <t>X_plaque de poussée</t>
  </si>
  <si>
    <t>Masse fusée</t>
  </si>
  <si>
    <t>X_CdG</t>
  </si>
  <si>
    <t>Propu plein</t>
  </si>
  <si>
    <t>Sans propu</t>
  </si>
  <si>
    <t>Masse avec propu vide</t>
  </si>
  <si>
    <t>Simulation de vol</t>
  </si>
  <si>
    <t>Tenue mécanique</t>
  </si>
  <si>
    <t>masse d'un aileron</t>
  </si>
  <si>
    <t>superficie d'un aileron</t>
  </si>
  <si>
    <t>fleche acceptable(mm)</t>
  </si>
  <si>
    <t>compression</t>
  </si>
  <si>
    <t>Resistance longitudinale d'un aileron</t>
  </si>
  <si>
    <t>Resistance transversale d'un aileron</t>
  </si>
  <si>
    <t>Récupération</t>
  </si>
  <si>
    <t>Ralentisseur</t>
  </si>
  <si>
    <t>nombre de suspentes</t>
  </si>
  <si>
    <t>surface parachute</t>
  </si>
  <si>
    <t>force à tester totale</t>
  </si>
  <si>
    <t>force sur suspente</t>
  </si>
  <si>
    <t>Séparation latérale</t>
  </si>
  <si>
    <t>masse au dessus case para</t>
  </si>
  <si>
    <t>Force de compression</t>
  </si>
  <si>
    <t>MINIF PRO24-6G</t>
  </si>
  <si>
    <t>MINIF PRO38-1G</t>
  </si>
  <si>
    <t>p29-2G 84G88</t>
  </si>
  <si>
    <t>p29-2G 93G80</t>
  </si>
  <si>
    <t>p29-2G 110G250</t>
  </si>
  <si>
    <t>p29-2G 116G126</t>
  </si>
  <si>
    <t>p38-1G 137G58</t>
  </si>
  <si>
    <t>p38-1G 128G185</t>
  </si>
  <si>
    <t>p29-1G 41F36</t>
  </si>
  <si>
    <t>p29-1G 51F36</t>
  </si>
  <si>
    <t>p29-1G 55F29</t>
  </si>
  <si>
    <t>p29-1G 56F120</t>
  </si>
  <si>
    <t>p29-1G 57F59</t>
  </si>
  <si>
    <t>MINIF PRO29-3G</t>
  </si>
  <si>
    <t>p29-3G 125G131</t>
  </si>
  <si>
    <t>p38-1G 141G78</t>
  </si>
  <si>
    <t>MINIF PRO24-2G</t>
  </si>
  <si>
    <t>p24-2G 50E51</t>
  </si>
  <si>
    <t>p24-1G 53E70</t>
  </si>
  <si>
    <t>p29-3G 159G125</t>
  </si>
  <si>
    <t>Dépotage</t>
  </si>
  <si>
    <t>Combustion</t>
  </si>
  <si>
    <t>Sylvain Besson</t>
  </si>
  <si>
    <t>Minif Test</t>
  </si>
  <si>
    <t>Rocketry Challenge</t>
  </si>
  <si>
    <t>,Minif Tests</t>
  </si>
  <si>
    <t>MiniR</t>
  </si>
  <si>
    <t>MiniRN</t>
  </si>
  <si>
    <t>MiniN</t>
  </si>
  <si>
    <t>H20</t>
  </si>
  <si>
    <t>micro</t>
  </si>
  <si>
    <t>minif N</t>
  </si>
  <si>
    <t>Verification moteur</t>
  </si>
  <si>
    <t>Minif RC</t>
  </si>
  <si>
    <t>N/A</t>
  </si>
  <si>
    <t>T_para =</t>
  </si>
  <si>
    <t>-9</t>
  </si>
  <si>
    <t>-7</t>
  </si>
  <si>
    <t>-5</t>
  </si>
  <si>
    <t>-3</t>
  </si>
  <si>
    <t>-0</t>
  </si>
  <si>
    <t>Délais dépotage</t>
  </si>
  <si>
    <t>Propu : +ProX, Stabilito : séparation minif/RC, Trajecto : dépotage +rampe RC 3m</t>
  </si>
  <si>
    <t>StabTraj V3.3a</t>
  </si>
  <si>
    <t>p24-1G 25E75 (Rufina)</t>
  </si>
  <si>
    <t>Modification des alertes, +Effort subit par les parachutes</t>
  </si>
  <si>
    <t>Pour prendre en compte plsu de moteurs, il faut changer les variables "menu_type" et "liste"propu" dans le gestionnaire de noms.</t>
  </si>
  <si>
    <t>StabTraj V3.3e</t>
  </si>
  <si>
    <t>Efforts</t>
  </si>
  <si>
    <t>Xcp0</t>
  </si>
  <si>
    <t>sans propu</t>
  </si>
  <si>
    <t>Mono-empennage</t>
  </si>
  <si>
    <t>Bi-empennage</t>
  </si>
  <si>
    <t>Portée balistique &lt; 200 m</t>
  </si>
  <si>
    <t>Indication dépotage lanceur</t>
  </si>
  <si>
    <t>~0 m</t>
  </si>
  <si>
    <t>Données au format des fiches de contrôles minif :</t>
  </si>
  <si>
    <t xml:space="preserve">n = </t>
  </si>
  <si>
    <t xml:space="preserve">E = </t>
  </si>
  <si>
    <t xml:space="preserve">p = </t>
  </si>
  <si>
    <t>1,5.D &lt; Ms &lt; 6.D</t>
  </si>
  <si>
    <t xml:space="preserve">ailrons haut </t>
  </si>
  <si>
    <t>nombre</t>
  </si>
  <si>
    <t xml:space="preserve">ep = </t>
  </si>
  <si>
    <t>Fusée</t>
  </si>
  <si>
    <t>D</t>
  </si>
  <si>
    <t>L ogive</t>
  </si>
  <si>
    <t>L tot</t>
  </si>
  <si>
    <t>X prop</t>
  </si>
  <si>
    <t>Ailerons</t>
  </si>
  <si>
    <t>n</t>
  </si>
  <si>
    <t>p</t>
  </si>
  <si>
    <t>E</t>
  </si>
  <si>
    <t>X ail</t>
  </si>
  <si>
    <t>Bi empennage</t>
  </si>
  <si>
    <t>L</t>
  </si>
  <si>
    <t>D 1</t>
  </si>
  <si>
    <t>D 2</t>
  </si>
  <si>
    <t>X</t>
  </si>
  <si>
    <t>X cg (sans)</t>
  </si>
  <si>
    <t>(mm)</t>
  </si>
  <si>
    <t>Masse sans propu (kg)</t>
  </si>
  <si>
    <t>Couleur de la fusée</t>
  </si>
  <si>
    <t>Type d'éjection du para.</t>
  </si>
  <si>
    <t>Couleur du ralentisseur</t>
  </si>
  <si>
    <t>Surface ralentisseur (m²)</t>
  </si>
  <si>
    <t>Masse sans prop. (kg)</t>
  </si>
  <si>
    <t>Diamètre max (mm)</t>
  </si>
  <si>
    <t>Longeur de la rampe (m)</t>
  </si>
  <si>
    <t>Propulseur</t>
  </si>
  <si>
    <t>module rocket(){</t>
  </si>
  <si>
    <t>}</t>
  </si>
  <si>
    <t>//--------------------------------coiffe</t>
  </si>
  <si>
    <t>if (coiffe_type   == "conique"){</t>
  </si>
  <si>
    <t>//--------------------------------corps</t>
  </si>
  <si>
    <t>if (plusieur_diametres == false){</t>
  </si>
  <si>
    <t>} else {</t>
  </si>
  <si>
    <t>//--------------------------------ailerons</t>
  </si>
  <si>
    <t>aileron(coiffe_diametre, aileron_m_emplature,</t>
  </si>
  <si>
    <t xml:space="preserve"> aileron_position_bas);</t>
  </si>
  <si>
    <t>if (bi_empennage == true){</t>
  </si>
  <si>
    <t xml:space="preserve"> aileron_sup_nombre,</t>
  </si>
  <si>
    <t>rocket();</t>
  </si>
  <si>
    <t xml:space="preserve">	module aileron(diam, m, n, p, e, ep, nb, pos, masque = true){</t>
  </si>
  <si>
    <t xml:space="preserve"> 		depha =   masque ? 0 : 45 ;</t>
  </si>
  <si>
    <t xml:space="preserve">		for (angle = [0 : 360/nb : 360] ){</t>
  </si>
  <si>
    <t xml:space="preserve">			translate ([-diam*sin(angle+depha), diam*cos(angle+depha), pos-m]) {</t>
  </si>
  <si>
    <t xml:space="preserve">				rotate( [0, 0, angle+depha] ){</t>
  </si>
  <si>
    <t xml:space="preserve">	</t>
  </si>
  <si>
    <t xml:space="preserve">					polyhedron</t>
  </si>
  <si>
    <t xml:space="preserve">						(points = [</t>
  </si>
  <si>
    <t xml:space="preserve">							[+ep, 0, 0], [+ep, 0, m], [+ep, e, p+n],  [+ep, e, p],</t>
  </si>
  <si>
    <t xml:space="preserve">							[-ep, 0, 0], [-ep, 0, m], [-ep, e, p+n],  [-ep, e, p]</t>
  </si>
  <si>
    <t xml:space="preserve">							],</t>
  </si>
  <si>
    <t xml:space="preserve">						triangles = [</t>
  </si>
  <si>
    <t xml:space="preserve">							[0, 2, 1], [0, 2, 3], //carre +</t>
  </si>
  <si>
    <t xml:space="preserve">							[4, 6, 5], [4, 6, 7], //carre -</t>
  </si>
  <si>
    <t xml:space="preserve">							[0, 5, 1], [0, 5, 4],</t>
  </si>
  <si>
    <t xml:space="preserve">							[1, 6, 2], [1, 6, 5],</t>
  </si>
  <si>
    <t xml:space="preserve">							[2, 7, 3], [2, 7, 6],</t>
  </si>
  <si>
    <t xml:space="preserve">							[0, 7, 3], [0, 7, 4]</t>
  </si>
  <si>
    <t xml:space="preserve">							]</t>
  </si>
  <si>
    <t xml:space="preserve">						);</t>
  </si>
  <si>
    <t xml:space="preserve">				}</t>
  </si>
  <si>
    <t xml:space="preserve">			}</t>
  </si>
  <si>
    <t xml:space="preserve">		}</t>
  </si>
  <si>
    <t xml:space="preserve">	}	</t>
  </si>
  <si>
    <t xml:space="preserve">	module coiffe(diam, hauteur, resolution = 20.0){</t>
  </si>
  <si>
    <t xml:space="preserve">		pas = hauteur/resolution;</t>
  </si>
  <si>
    <t xml:space="preserve">		for (x = [0: pas : hauteur] ){</t>
  </si>
  <si>
    <t xml:space="preserve">			translate( [0, 0, x+pas] ){</t>
  </si>
  <si>
    <t xml:space="preserve">				cylinder(pas, pow(x, 1.0/2.0), pow(x+pas, 1.0/2.0), false);</t>
  </si>
  <si>
    <t xml:space="preserve">	}</t>
  </si>
  <si>
    <t xml:space="preserve">	cylinder(coiffe_hauteur, 0, coiffe_diametre, false);</t>
  </si>
  <si>
    <t xml:space="preserve">	translate ([0, 0, coiffe_hauteur]) {</t>
  </si>
  <si>
    <t xml:space="preserve">		cylinder(longeur_total-coiffe_hauteur, coiffe_diametre, coiffe_diametre, false);</t>
  </si>
  <si>
    <t xml:space="preserve">	//Premier cylindre</t>
  </si>
  <si>
    <t xml:space="preserve">		cylinder(diam_A_X_implantation-coiffe_hauteur, coiffe_diametre, coiffe_diametre, false);</t>
  </si>
  <si>
    <t xml:space="preserve">	//Premier chanvrin</t>
  </si>
  <si>
    <t xml:space="preserve">	translate ([0, 0, diam_A_X_implantation]) {</t>
  </si>
  <si>
    <t xml:space="preserve">		cylinder(diam_A_L_longeur, diam_A_D1_diametre, diam_A_D2_diametre, false);</t>
  </si>
  <si>
    <t xml:space="preserve">		</t>
  </si>
  <si>
    <t xml:space="preserve">	//Second cylindre</t>
  </si>
  <si>
    <t xml:space="preserve">	translate ([0, 0, diam_A_X_implantation+diam_A_L_longeur]) {</t>
  </si>
  <si>
    <t xml:space="preserve">		cylinder(diam_B_X_implantation-(diam_A_X_implantation+diam_A_L_longeur), diam_A_D2_diametre, diam_B_D1_diametre, false);</t>
  </si>
  <si>
    <t xml:space="preserve">	//Second chanvrin</t>
  </si>
  <si>
    <t xml:space="preserve">	translate ([0, 0, diam_B_X_implantation]) {</t>
  </si>
  <si>
    <t xml:space="preserve">		cylinder(diam_B_L_longeur, diam_B_D1_diametre, diam_B_D2_diametre, false);</t>
  </si>
  <si>
    <t xml:space="preserve">	//Troisieme cylindre</t>
  </si>
  <si>
    <t xml:space="preserve">	translate ([0, 0, diam_B_X_implantation + diam_B_L_longeur]) {</t>
  </si>
  <si>
    <t xml:space="preserve">		cylinder(longeur_total-(diam_B_X_implantation + diam_B_L_longeur), diam_B_D2_diametre, diam_B_D2_diametre, false);</t>
  </si>
  <si>
    <t xml:space="preserve">	 aileron_n_saumon, </t>
  </si>
  <si>
    <t xml:space="preserve">	 aileron_p_fleche,</t>
  </si>
  <si>
    <t xml:space="preserve">	 aileron_e_envergure,</t>
  </si>
  <si>
    <t xml:space="preserve">	 aileron_epaisseur,</t>
  </si>
  <si>
    <t xml:space="preserve">	 aileron_nombre,</t>
  </si>
  <si>
    <t xml:space="preserve">	aileron(coiffe_diametre, aileron_sup_m_emplature,</t>
  </si>
  <si>
    <t xml:space="preserve">	 aileron_sup_n_saumon,</t>
  </si>
  <si>
    <t xml:space="preserve">	 aileron_sup_p_fleche,</t>
  </si>
  <si>
    <t xml:space="preserve">	 aileron_sup_e_envergure,</t>
  </si>
  <si>
    <t xml:space="preserve">	 aileron_sup_epaisseur,</t>
  </si>
  <si>
    <t xml:space="preserve">	 aileron_sup_position_bas,</t>
  </si>
  <si>
    <t xml:space="preserve">	 aileron_sup_masque);</t>
  </si>
  <si>
    <t>p24-6G 140G145 PK</t>
  </si>
  <si>
    <t>p24-6G 139G107 DT</t>
  </si>
  <si>
    <t>p24-6G 142G117 WT</t>
  </si>
  <si>
    <t>Klima D9-7 x2</t>
  </si>
  <si>
    <t>Klima D9-7 x3</t>
  </si>
  <si>
    <t>Klima D9-7</t>
  </si>
  <si>
    <t>StabTraj V3.4.1</t>
  </si>
  <si>
    <t>Propu : +Klima D9</t>
  </si>
  <si>
    <t>v3.4.2</t>
  </si>
  <si>
    <t>p29-1G 56F31</t>
  </si>
  <si>
    <t xml:space="preserve"> 143G150 BS</t>
  </si>
  <si>
    <t>StabTraj V3.4.2</t>
  </si>
  <si>
    <t>Ajout propu</t>
  </si>
  <si>
    <t>Pandora (Pro24-6G BS)</t>
  </si>
  <si>
    <t>Barasinga (Pro54-5G C)</t>
  </si>
  <si>
    <t>Orignal (Pro75-3G C)</t>
  </si>
  <si>
    <t>Blastocerus (Pro98-6GXL RL)</t>
  </si>
  <si>
    <t>Aeroipsa</t>
  </si>
  <si>
    <t>rose</t>
  </si>
  <si>
    <t>gris/rouge</t>
  </si>
  <si>
    <t>Conique (droite)</t>
  </si>
  <si>
    <t>Plusieurs diamètres.</t>
  </si>
  <si>
    <t>Fusée expérimentale.</t>
  </si>
  <si>
    <t xml:space="preserve">SP-02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</si>
</sst>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3">
    <numFmt numFmtId="164" formatCode="General&quot; kg&quot;"/>
    <numFmt numFmtId="165" formatCode="0.0"/>
    <numFmt numFmtId="166" formatCode="0.000000&quot; m²&quot;"/>
    <numFmt numFmtId="167" formatCode="General&quot; m&quot;"/>
    <numFmt numFmtId="168" formatCode="General&quot; °&quot;"/>
    <numFmt numFmtId="169" formatCode="0.000"/>
    <numFmt numFmtId="170" formatCode="General&quot; s&quot;"/>
    <numFmt numFmtId="171" formatCode="General&quot; m²&quot;"/>
    <numFmt numFmtId="172" formatCode="0&quot; m/s&quot;"/>
    <numFmt numFmtId="173" formatCode="0&quot; s&quot;"/>
    <numFmt numFmtId="174" formatCode="General&quot; m/s&quot;"/>
    <numFmt numFmtId="175" formatCode="0&quot; m&quot;"/>
    <numFmt numFmtId="176" formatCode="General\ &quot;kg&quot;"/>
    <numFmt numFmtId="177" formatCode="General\ &quot;mm&quot;"/>
    <numFmt numFmtId="178" formatCode="0&quot; mm&quot;"/>
    <numFmt numFmtId="179" formatCode="General\ &quot;D&quot;"/>
    <numFmt numFmtId="180" formatCode="0.00&quot; D&quot;"/>
    <numFmt numFmtId="181" formatCode="0&quot;% L&quot;"/>
    <numFmt numFmtId="182" formatCode="General\°"/>
    <numFmt numFmtId="183" formatCode="0.#"/>
    <numFmt numFmtId="184" formatCode="0.0&quot; N.s&quot;"/>
    <numFmt numFmtId="185" formatCode="\±\ 0&quot; m&quot;"/>
    <numFmt numFmtId="186" formatCode="0.0&quot; s&quot;"/>
    <numFmt numFmtId="187" formatCode="0.0&quot; m/s&quot;"/>
    <numFmt numFmtId="188" formatCode="0&quot; m/s²&quot;"/>
    <numFmt numFmtId="189" formatCode="0.00&quot; m²&quot;"/>
    <numFmt numFmtId="190" formatCode="General\ &quot;g&quot;"/>
    <numFmt numFmtId="191" formatCode="#,##0.0\ [$ N]"/>
    <numFmt numFmtId="192" formatCode="#,##0.000\ [$KG]"/>
    <numFmt numFmtId="193" formatCode="0.0&quot; mm&quot;"/>
    <numFmt numFmtId="194" formatCode="General&quot; kg ±100%&quot;"/>
    <numFmt numFmtId="195" formatCode="0&quot; mm ±50%&quot;"/>
    <numFmt numFmtId="196" formatCode="General\ &quot;m/s²&quot;"/>
    <numFmt numFmtId="197" formatCode="&quot;Ø = &quot;0&quot; mm&quot;"/>
    <numFmt numFmtId="198" formatCode="#,##0\ [$ mm²]"/>
    <numFmt numFmtId="199" formatCode="#,#00\ [$ mm]"/>
    <numFmt numFmtId="200" formatCode="#,##0\ [$mm]"/>
    <numFmt numFmtId="201" formatCode="#,##0.00000\ [$ m²]"/>
    <numFmt numFmtId="202" formatCode="#,##0.0\ [$ kg]"/>
    <numFmt numFmtId="203" formatCode="0.00&quot; s&quot;"/>
    <numFmt numFmtId="204" formatCode="0.0&quot; N&quot;"/>
    <numFmt numFmtId="205" formatCode="0&quot; J&quot;"/>
    <numFmt numFmtId="206" formatCode="0&quot; G&quot;"/>
  </numFmts>
  <fonts count="55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color indexed="9"/>
      <name val="Arial"/>
      <family val="2"/>
    </font>
    <font>
      <b/>
      <sz val="12"/>
      <name val="Times New Roman"/>
      <family val="1"/>
    </font>
    <font>
      <b/>
      <sz val="9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b/>
      <sz val="10"/>
      <color indexed="18"/>
      <name val="Arial"/>
      <family val="2"/>
    </font>
    <font>
      <b/>
      <sz val="10"/>
      <color indexed="58"/>
      <name val="Arial"/>
      <family val="2"/>
    </font>
    <font>
      <b/>
      <sz val="10"/>
      <color indexed="17"/>
      <name val="Arial"/>
      <family val="2"/>
    </font>
    <font>
      <b/>
      <sz val="10"/>
      <color indexed="23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4"/>
      <color indexed="10"/>
      <name val="Arial"/>
      <family val="2"/>
    </font>
    <font>
      <sz val="8"/>
      <color indexed="8"/>
      <name val="Tahoma"/>
      <family val="2"/>
    </font>
    <font>
      <i/>
      <sz val="8"/>
      <color indexed="8"/>
      <name val="Tahoma"/>
      <family val="2"/>
    </font>
    <font>
      <b/>
      <sz val="8"/>
      <color indexed="8"/>
      <name val="Tahoma"/>
      <family val="2"/>
    </font>
    <font>
      <b/>
      <u/>
      <sz val="8"/>
      <color indexed="8"/>
      <name val="Tahoma"/>
      <family val="2"/>
    </font>
    <font>
      <b/>
      <sz val="8"/>
      <color indexed="16"/>
      <name val="Tahoma"/>
      <family val="2"/>
    </font>
    <font>
      <i/>
      <sz val="8"/>
      <color indexed="16"/>
      <name val="Tahoma"/>
      <family val="2"/>
    </font>
    <font>
      <strike/>
      <sz val="10"/>
      <name val="Arial"/>
      <family val="2"/>
    </font>
    <font>
      <b/>
      <i/>
      <sz val="8"/>
      <color indexed="8"/>
      <name val="Tahoma"/>
      <family val="2"/>
    </font>
    <font>
      <b/>
      <sz val="10"/>
      <color indexed="23"/>
      <name val="Arial"/>
      <family val="2"/>
    </font>
    <font>
      <b/>
      <sz val="6"/>
      <name val="Arial"/>
      <family val="2"/>
    </font>
    <font>
      <sz val="8"/>
      <color indexed="23"/>
      <name val="Arial"/>
      <family val="2"/>
    </font>
    <font>
      <b/>
      <sz val="10"/>
      <color indexed="23"/>
      <name val="Arial"/>
      <family val="2"/>
    </font>
    <font>
      <b/>
      <sz val="10"/>
      <color indexed="23"/>
      <name val="Arial"/>
      <family val="2"/>
    </font>
    <font>
      <sz val="10"/>
      <color indexed="23"/>
      <name val="Arial"/>
      <family val="2"/>
    </font>
    <font>
      <sz val="10"/>
      <color indexed="12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indexed="12"/>
      <name val="Tahoma"/>
      <family val="2"/>
    </font>
    <font>
      <i/>
      <sz val="8"/>
      <color indexed="12"/>
      <name val="Tahoma"/>
      <family val="2"/>
    </font>
    <font>
      <sz val="8"/>
      <color indexed="81"/>
      <name val="Tahoma"/>
      <family val="2"/>
    </font>
    <font>
      <i/>
      <sz val="8"/>
      <color indexed="81"/>
      <name val="Tahoma"/>
      <family val="2"/>
    </font>
    <font>
      <b/>
      <sz val="10"/>
      <color indexed="53"/>
      <name val="Arial"/>
      <family val="2"/>
    </font>
    <font>
      <b/>
      <u/>
      <sz val="12"/>
      <name val="Arial"/>
      <family val="2"/>
    </font>
    <font>
      <b/>
      <i/>
      <sz val="10"/>
      <name val="Arial"/>
      <family val="2"/>
    </font>
    <font>
      <b/>
      <sz val="8"/>
      <color indexed="81"/>
      <name val="Tahoma"/>
      <family val="2"/>
    </font>
    <font>
      <b/>
      <sz val="10"/>
      <color rgb="FFFF0000"/>
      <name val="Arial"/>
      <family val="2"/>
    </font>
    <font>
      <b/>
      <sz val="10"/>
      <color rgb="FF808080"/>
      <name val="Arial"/>
      <family val="2"/>
    </font>
    <font>
      <sz val="10"/>
      <color rgb="FF808080"/>
      <name val="Arial"/>
      <family val="2"/>
    </font>
    <font>
      <sz val="8"/>
      <color rgb="FF808080"/>
      <name val="Arial"/>
      <family val="2"/>
    </font>
    <font>
      <sz val="8"/>
      <color theme="0"/>
      <name val="Arial"/>
      <family val="2"/>
    </font>
    <font>
      <sz val="10"/>
      <color rgb="FFFF0000"/>
      <name val="Arial"/>
      <family val="2"/>
    </font>
    <font>
      <sz val="8"/>
      <color rgb="FF000000"/>
      <name val="Tahoma"/>
      <family val="2"/>
    </font>
    <font>
      <i/>
      <sz val="8"/>
      <color rgb="FF000000"/>
      <name val="Tahoma"/>
      <family val="2"/>
    </font>
    <font>
      <b/>
      <sz val="8"/>
      <color rgb="FF000000"/>
      <name val="Tahoma"/>
      <family val="2"/>
    </font>
    <font>
      <b/>
      <i/>
      <sz val="8"/>
      <color rgb="FF000000"/>
      <name val="Tahoma"/>
      <family val="2"/>
    </font>
    <font>
      <sz val="8"/>
      <color rgb="FFFF0000"/>
      <name val="Tahoma"/>
      <family val="2"/>
    </font>
    <font>
      <i/>
      <sz val="8"/>
      <color rgb="FFFF000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3"/>
        <bgColor indexed="42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indexed="44"/>
        <bgColor indexed="27"/>
      </patternFill>
    </fill>
    <fill>
      <patternFill patternType="solid">
        <fgColor indexed="44"/>
        <b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27"/>
      </patternFill>
    </fill>
    <fill>
      <patternFill patternType="solid">
        <fgColor indexed="47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44"/>
      </patternFill>
    </fill>
    <fill>
      <patternFill patternType="solid">
        <fgColor indexed="26"/>
        <bgColor indexed="41"/>
      </patternFill>
    </fill>
    <fill>
      <patternFill patternType="solid">
        <fgColor indexed="42"/>
        <bgColor indexed="41"/>
      </patternFill>
    </fill>
    <fill>
      <patternFill patternType="solid">
        <fgColor indexed="43"/>
        <bgColor indexed="41"/>
      </patternFill>
    </fill>
    <fill>
      <patternFill patternType="solid">
        <fgColor indexed="8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rgb="FFCCFFFF"/>
        <bgColor indexed="41"/>
      </patternFill>
    </fill>
    <fill>
      <patternFill patternType="solid">
        <fgColor rgb="FF99CCFF"/>
        <bgColor indexed="31"/>
      </patternFill>
    </fill>
    <fill>
      <patternFill patternType="solid">
        <fgColor rgb="FFCCFFFF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CCFFCC"/>
        <bgColor indexed="41"/>
      </patternFill>
    </fill>
    <fill>
      <patternFill patternType="solid">
        <fgColor rgb="FFFFCC99"/>
        <bgColor indexed="31"/>
      </patternFill>
    </fill>
    <fill>
      <patternFill patternType="solid">
        <fgColor rgb="FF99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42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42"/>
      </patternFill>
    </fill>
  </fills>
  <borders count="103">
    <border>
      <left/>
      <right/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11"/>
      </left>
      <right style="thick">
        <color indexed="11"/>
      </right>
      <top style="thick">
        <color indexed="11"/>
      </top>
      <bottom style="thick">
        <color indexed="11"/>
      </bottom>
      <diagonal/>
    </border>
    <border>
      <left style="thick">
        <color indexed="11"/>
      </left>
      <right style="thick">
        <color indexed="57"/>
      </right>
      <top style="thick">
        <color indexed="57"/>
      </top>
      <bottom style="thick">
        <color indexed="57"/>
      </bottom>
      <diagonal/>
    </border>
    <border>
      <left style="thick">
        <color indexed="57"/>
      </left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20"/>
      </left>
      <right/>
      <top style="thick">
        <color indexed="20"/>
      </top>
      <bottom style="thick">
        <color indexed="20"/>
      </bottom>
      <diagonal/>
    </border>
    <border>
      <left/>
      <right style="thick">
        <color indexed="20"/>
      </right>
      <top style="thick">
        <color indexed="20"/>
      </top>
      <bottom style="thick">
        <color indexed="20"/>
      </bottom>
      <diagonal/>
    </border>
    <border>
      <left style="thick">
        <color indexed="18"/>
      </left>
      <right/>
      <top style="thick">
        <color indexed="18"/>
      </top>
      <bottom style="thick">
        <color indexed="18"/>
      </bottom>
      <diagonal/>
    </border>
    <border>
      <left/>
      <right style="thick">
        <color indexed="18"/>
      </right>
      <top style="thick">
        <color indexed="18"/>
      </top>
      <bottom style="thick">
        <color indexed="18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20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23"/>
      </top>
      <bottom style="thin">
        <color indexed="8"/>
      </bottom>
      <diagonal/>
    </border>
    <border>
      <left/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" fillId="0" borderId="0"/>
  </cellStyleXfs>
  <cellXfs count="67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2" fontId="0" fillId="2" borderId="0" xfId="0" applyNumberFormat="1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9" fillId="0" borderId="0" xfId="0" applyFont="1"/>
    <xf numFmtId="0" fontId="10" fillId="0" borderId="0" xfId="1" applyNumberFormat="1" applyFill="1" applyBorder="1" applyAlignment="1" applyProtection="1"/>
    <xf numFmtId="14" fontId="0" fillId="0" borderId="0" xfId="0" applyNumberFormat="1" applyAlignment="1">
      <alignment horizontal="left"/>
    </xf>
    <xf numFmtId="171" fontId="2" fillId="3" borderId="2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 applyAlignment="1">
      <alignment vertical="center"/>
    </xf>
    <xf numFmtId="0" fontId="2" fillId="0" borderId="3" xfId="2" applyFont="1" applyBorder="1"/>
    <xf numFmtId="0" fontId="2" fillId="0" borderId="4" xfId="2" applyFont="1" applyBorder="1"/>
    <xf numFmtId="0" fontId="2" fillId="0" borderId="4" xfId="2" applyFont="1" applyBorder="1" applyAlignment="1">
      <alignment horizontal="center"/>
    </xf>
    <xf numFmtId="0" fontId="15" fillId="0" borderId="4" xfId="2" applyFont="1" applyBorder="1" applyProtection="1">
      <protection hidden="1"/>
    </xf>
    <xf numFmtId="0" fontId="1" fillId="0" borderId="5" xfId="2" applyBorder="1"/>
    <xf numFmtId="0" fontId="2" fillId="0" borderId="0" xfId="2" applyFont="1"/>
    <xf numFmtId="0" fontId="2" fillId="0" borderId="6" xfId="2" applyFont="1" applyBorder="1"/>
    <xf numFmtId="0" fontId="15" fillId="0" borderId="0" xfId="2" applyFont="1" applyProtection="1">
      <protection hidden="1"/>
    </xf>
    <xf numFmtId="0" fontId="1" fillId="0" borderId="7" xfId="2" applyBorder="1"/>
    <xf numFmtId="0" fontId="4" fillId="0" borderId="0" xfId="2" applyFont="1"/>
    <xf numFmtId="0" fontId="2" fillId="0" borderId="7" xfId="2" applyFont="1" applyBorder="1"/>
    <xf numFmtId="0" fontId="2" fillId="0" borderId="0" xfId="2" applyFont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0" fontId="16" fillId="0" borderId="0" xfId="2" applyFont="1"/>
    <xf numFmtId="0" fontId="2" fillId="0" borderId="0" xfId="2" applyFont="1" applyProtection="1">
      <protection hidden="1"/>
    </xf>
    <xf numFmtId="0" fontId="15" fillId="4" borderId="8" xfId="2" applyFont="1" applyFill="1" applyBorder="1" applyAlignment="1" applyProtection="1">
      <alignment horizontal="center"/>
      <protection locked="0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0" fontId="2" fillId="4" borderId="2" xfId="2" applyFont="1" applyFill="1" applyBorder="1" applyAlignment="1" applyProtection="1">
      <alignment horizontal="center"/>
      <protection locked="0"/>
    </xf>
    <xf numFmtId="0" fontId="16" fillId="0" borderId="0" xfId="2" applyFont="1" applyProtection="1">
      <protection hidden="1"/>
    </xf>
    <xf numFmtId="0" fontId="15" fillId="0" borderId="0" xfId="2" applyFont="1"/>
    <xf numFmtId="14" fontId="15" fillId="0" borderId="0" xfId="2" applyNumberFormat="1" applyFont="1" applyAlignment="1" applyProtection="1">
      <alignment horizontal="center"/>
      <protection hidden="1"/>
    </xf>
    <xf numFmtId="0" fontId="2" fillId="0" borderId="9" xfId="2" applyFont="1" applyBorder="1"/>
    <xf numFmtId="0" fontId="2" fillId="0" borderId="10" xfId="2" applyFont="1" applyBorder="1" applyAlignment="1" applyProtection="1">
      <alignment horizontal="center"/>
      <protection locked="0"/>
    </xf>
    <xf numFmtId="0" fontId="2" fillId="0" borderId="10" xfId="2" applyFont="1" applyBorder="1" applyProtection="1">
      <protection locked="0"/>
    </xf>
    <xf numFmtId="0" fontId="2" fillId="0" borderId="0" xfId="2" applyFont="1" applyProtection="1">
      <protection locked="0"/>
    </xf>
    <xf numFmtId="0" fontId="2" fillId="0" borderId="0" xfId="2" applyFont="1" applyAlignment="1" applyProtection="1">
      <alignment horizontal="center"/>
      <protection locked="0"/>
    </xf>
    <xf numFmtId="0" fontId="15" fillId="0" borderId="0" xfId="2" applyFont="1" applyAlignment="1" applyProtection="1">
      <alignment horizontal="center"/>
      <protection hidden="1"/>
    </xf>
    <xf numFmtId="1" fontId="15" fillId="0" borderId="0" xfId="2" applyNumberFormat="1" applyFont="1" applyAlignment="1" applyProtection="1">
      <alignment horizontal="center"/>
      <protection hidden="1"/>
    </xf>
    <xf numFmtId="0" fontId="0" fillId="0" borderId="0" xfId="0" applyAlignment="1">
      <alignment horizontal="left"/>
    </xf>
    <xf numFmtId="0" fontId="15" fillId="0" borderId="0" xfId="0" applyFont="1"/>
    <xf numFmtId="0" fontId="24" fillId="0" borderId="0" xfId="0" applyFont="1"/>
    <xf numFmtId="14" fontId="0" fillId="0" borderId="0" xfId="0" applyNumberFormat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0" borderId="6" xfId="0" applyFont="1" applyBorder="1"/>
    <xf numFmtId="0" fontId="2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hidden="1"/>
    </xf>
    <xf numFmtId="169" fontId="0" fillId="0" borderId="0" xfId="0" applyNumberFormat="1" applyAlignment="1" applyProtection="1">
      <alignment vertical="center"/>
      <protection hidden="1"/>
    </xf>
    <xf numFmtId="164" fontId="0" fillId="3" borderId="11" xfId="0" applyNumberFormat="1" applyFill="1" applyBorder="1" applyAlignment="1">
      <alignment horizontal="center"/>
    </xf>
    <xf numFmtId="178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5" fillId="0" borderId="10" xfId="2" applyFont="1" applyBorder="1" applyProtection="1">
      <protection locked="0"/>
    </xf>
    <xf numFmtId="0" fontId="10" fillId="0" borderId="0" xfId="1"/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5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82" fontId="2" fillId="0" borderId="12" xfId="0" applyNumberFormat="1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 vertical="center"/>
    </xf>
    <xf numFmtId="165" fontId="2" fillId="0" borderId="12" xfId="0" applyNumberFormat="1" applyFont="1" applyBorder="1" applyAlignment="1">
      <alignment horizontal="center"/>
    </xf>
    <xf numFmtId="0" fontId="0" fillId="0" borderId="0" xfId="2" applyFont="1" applyAlignment="1" applyProtection="1">
      <alignment horizontal="center"/>
      <protection hidden="1"/>
    </xf>
    <xf numFmtId="0" fontId="8" fillId="0" borderId="4" xfId="2" applyFont="1" applyBorder="1"/>
    <xf numFmtId="0" fontId="8" fillId="0" borderId="0" xfId="2" applyFont="1"/>
    <xf numFmtId="0" fontId="8" fillId="0" borderId="0" xfId="2" applyFont="1" applyProtection="1">
      <protection hidden="1"/>
    </xf>
    <xf numFmtId="0" fontId="8" fillId="0" borderId="10" xfId="2" applyFont="1" applyBorder="1" applyProtection="1">
      <protection locked="0"/>
    </xf>
    <xf numFmtId="0" fontId="8" fillId="0" borderId="0" xfId="2" applyFont="1" applyAlignment="1" applyProtection="1">
      <alignment horizontal="center"/>
      <protection hidden="1"/>
    </xf>
    <xf numFmtId="1" fontId="8" fillId="0" borderId="0" xfId="2" applyNumberFormat="1" applyFont="1" applyAlignment="1" applyProtection="1">
      <alignment horizontal="center"/>
      <protection hidden="1"/>
    </xf>
    <xf numFmtId="0" fontId="29" fillId="0" borderId="0" xfId="2" applyFont="1"/>
    <xf numFmtId="0" fontId="0" fillId="0" borderId="0" xfId="0" applyProtection="1">
      <protection locked="0"/>
    </xf>
    <xf numFmtId="165" fontId="2" fillId="5" borderId="14" xfId="2" applyNumberFormat="1" applyFont="1" applyFill="1" applyBorder="1" applyAlignment="1">
      <alignment horizontal="center"/>
    </xf>
    <xf numFmtId="180" fontId="2" fillId="5" borderId="2" xfId="2" applyNumberFormat="1" applyFont="1" applyFill="1" applyBorder="1" applyAlignment="1">
      <alignment horizontal="center"/>
    </xf>
    <xf numFmtId="180" fontId="2" fillId="5" borderId="14" xfId="2" applyNumberFormat="1" applyFont="1" applyFill="1" applyBorder="1" applyAlignment="1">
      <alignment horizontal="center"/>
    </xf>
    <xf numFmtId="165" fontId="2" fillId="5" borderId="2" xfId="2" applyNumberFormat="1" applyFont="1" applyFill="1" applyBorder="1" applyAlignment="1">
      <alignment horizontal="center"/>
    </xf>
    <xf numFmtId="181" fontId="26" fillId="5" borderId="2" xfId="2" applyNumberFormat="1" applyFont="1" applyFill="1" applyBorder="1" applyAlignment="1">
      <alignment horizontal="center"/>
    </xf>
    <xf numFmtId="181" fontId="26" fillId="5" borderId="14" xfId="2" applyNumberFormat="1" applyFont="1" applyFill="1" applyBorder="1" applyAlignment="1">
      <alignment horizontal="center"/>
    </xf>
    <xf numFmtId="0" fontId="2" fillId="5" borderId="2" xfId="2" applyFont="1" applyFill="1" applyBorder="1" applyAlignment="1" applyProtection="1">
      <alignment horizontal="center"/>
      <protection hidden="1"/>
    </xf>
    <xf numFmtId="0" fontId="26" fillId="5" borderId="2" xfId="2" applyFont="1" applyFill="1" applyBorder="1" applyAlignment="1" applyProtection="1">
      <alignment horizontal="center"/>
      <protection hidden="1"/>
    </xf>
    <xf numFmtId="0" fontId="30" fillId="5" borderId="2" xfId="2" applyFont="1" applyFill="1" applyBorder="1" applyAlignment="1" applyProtection="1">
      <alignment horizontal="center"/>
      <protection hidden="1"/>
    </xf>
    <xf numFmtId="0" fontId="2" fillId="6" borderId="2" xfId="2" applyFont="1" applyFill="1" applyBorder="1" applyAlignment="1">
      <alignment horizontal="center"/>
    </xf>
    <xf numFmtId="0" fontId="26" fillId="6" borderId="2" xfId="2" applyFont="1" applyFill="1" applyBorder="1" applyAlignment="1">
      <alignment horizontal="center"/>
    </xf>
    <xf numFmtId="0" fontId="31" fillId="0" borderId="0" xfId="2" applyFont="1"/>
    <xf numFmtId="0" fontId="31" fillId="6" borderId="2" xfId="2" applyFont="1" applyFill="1" applyBorder="1" applyAlignment="1" applyProtection="1">
      <alignment horizontal="center"/>
      <protection hidden="1"/>
    </xf>
    <xf numFmtId="176" fontId="31" fillId="5" borderId="2" xfId="2" applyNumberFormat="1" applyFont="1" applyFill="1" applyBorder="1" applyAlignment="1" applyProtection="1">
      <alignment horizontal="center"/>
      <protection hidden="1"/>
    </xf>
    <xf numFmtId="0" fontId="31" fillId="5" borderId="2" xfId="2" applyFont="1" applyFill="1" applyBorder="1" applyAlignment="1">
      <alignment horizontal="center"/>
    </xf>
    <xf numFmtId="177" fontId="31" fillId="5" borderId="2" xfId="2" applyNumberFormat="1" applyFont="1" applyFill="1" applyBorder="1" applyAlignment="1" applyProtection="1">
      <alignment horizontal="center"/>
      <protection hidden="1"/>
    </xf>
    <xf numFmtId="176" fontId="31" fillId="5" borderId="2" xfId="2" applyNumberFormat="1" applyFont="1" applyFill="1" applyBorder="1" applyAlignment="1">
      <alignment horizontal="center"/>
    </xf>
    <xf numFmtId="178" fontId="31" fillId="5" borderId="2" xfId="2" applyNumberFormat="1" applyFont="1" applyFill="1" applyBorder="1" applyAlignment="1" applyProtection="1">
      <alignment horizontal="center"/>
      <protection hidden="1"/>
    </xf>
    <xf numFmtId="0" fontId="31" fillId="0" borderId="0" xfId="2" applyFont="1" applyProtection="1">
      <protection hidden="1"/>
    </xf>
    <xf numFmtId="2" fontId="0" fillId="7" borderId="15" xfId="0" applyNumberFormat="1" applyFill="1" applyBorder="1" applyAlignment="1">
      <alignment horizontal="center" vertical="center"/>
    </xf>
    <xf numFmtId="165" fontId="0" fillId="7" borderId="15" xfId="0" applyNumberFormat="1" applyFill="1" applyBorder="1" applyAlignment="1">
      <alignment horizontal="center" vertical="center"/>
    </xf>
    <xf numFmtId="1" fontId="2" fillId="7" borderId="15" xfId="0" applyNumberFormat="1" applyFont="1" applyFill="1" applyBorder="1" applyAlignment="1">
      <alignment horizontal="center" vertical="center"/>
    </xf>
    <xf numFmtId="165" fontId="2" fillId="7" borderId="15" xfId="0" applyNumberFormat="1" applyFont="1" applyFill="1" applyBorder="1" applyAlignment="1">
      <alignment horizontal="center" vertical="center"/>
    </xf>
    <xf numFmtId="1" fontId="0" fillId="7" borderId="15" xfId="0" applyNumberFormat="1" applyFill="1" applyBorder="1" applyAlignment="1">
      <alignment horizontal="center" vertical="center"/>
    </xf>
    <xf numFmtId="1" fontId="15" fillId="7" borderId="15" xfId="0" applyNumberFormat="1" applyFont="1" applyFill="1" applyBorder="1" applyAlignment="1">
      <alignment horizontal="center" vertical="center"/>
    </xf>
    <xf numFmtId="165" fontId="15" fillId="7" borderId="15" xfId="0" applyNumberFormat="1" applyFon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165" fontId="15" fillId="7" borderId="16" xfId="0" applyNumberFormat="1" applyFont="1" applyFill="1" applyBorder="1" applyAlignment="1">
      <alignment horizontal="center" vertical="center"/>
    </xf>
    <xf numFmtId="1" fontId="2" fillId="7" borderId="17" xfId="0" applyNumberFormat="1" applyFont="1" applyFill="1" applyBorder="1" applyAlignment="1">
      <alignment horizontal="center" vertical="center"/>
    </xf>
    <xf numFmtId="1" fontId="0" fillId="7" borderId="17" xfId="0" applyNumberFormat="1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" fontId="15" fillId="7" borderId="16" xfId="0" applyNumberFormat="1" applyFont="1" applyFill="1" applyBorder="1" applyAlignment="1">
      <alignment horizontal="center" vertical="center"/>
    </xf>
    <xf numFmtId="1" fontId="15" fillId="7" borderId="17" xfId="0" applyNumberFormat="1" applyFont="1" applyFill="1" applyBorder="1" applyAlignment="1">
      <alignment horizontal="center" vertical="center"/>
    </xf>
    <xf numFmtId="165" fontId="2" fillId="7" borderId="17" xfId="0" applyNumberFormat="1" applyFont="1" applyFill="1" applyBorder="1" applyAlignment="1">
      <alignment horizontal="center" vertical="center"/>
    </xf>
    <xf numFmtId="173" fontId="2" fillId="7" borderId="2" xfId="0" applyNumberFormat="1" applyFont="1" applyFill="1" applyBorder="1" applyAlignment="1">
      <alignment horizontal="center" vertical="center"/>
    </xf>
    <xf numFmtId="0" fontId="2" fillId="8" borderId="18" xfId="0" applyFont="1" applyFill="1" applyBorder="1" applyAlignment="1" applyProtection="1">
      <alignment horizontal="center" vertical="center"/>
      <protection hidden="1"/>
    </xf>
    <xf numFmtId="0" fontId="2" fillId="9" borderId="15" xfId="0" applyFont="1" applyFill="1" applyBorder="1" applyAlignment="1" applyProtection="1">
      <alignment horizontal="center" vertical="center"/>
      <protection hidden="1"/>
    </xf>
    <xf numFmtId="0" fontId="5" fillId="9" borderId="15" xfId="0" applyFont="1" applyFill="1" applyBorder="1" applyAlignment="1" applyProtection="1">
      <alignment horizontal="center" vertical="center"/>
      <protection hidden="1"/>
    </xf>
    <xf numFmtId="0" fontId="0" fillId="9" borderId="15" xfId="0" applyFill="1" applyBorder="1" applyAlignment="1" applyProtection="1">
      <alignment horizontal="center" vertical="center"/>
      <protection hidden="1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2" fillId="11" borderId="15" xfId="0" applyFont="1" applyFill="1" applyBorder="1" applyAlignment="1" applyProtection="1">
      <alignment horizontal="center" vertical="center"/>
      <protection hidden="1"/>
    </xf>
    <xf numFmtId="0" fontId="2" fillId="11" borderId="18" xfId="0" applyFont="1" applyFill="1" applyBorder="1" applyAlignment="1" applyProtection="1">
      <alignment horizontal="center" vertical="center"/>
      <protection hidden="1"/>
    </xf>
    <xf numFmtId="0" fontId="13" fillId="12" borderId="2" xfId="0" applyFont="1" applyFill="1" applyBorder="1" applyAlignment="1" applyProtection="1">
      <alignment horizontal="center"/>
      <protection hidden="1"/>
    </xf>
    <xf numFmtId="0" fontId="2" fillId="13" borderId="2" xfId="0" applyFont="1" applyFill="1" applyBorder="1" applyAlignment="1" applyProtection="1">
      <alignment horizontal="center" vertical="center"/>
      <protection locked="0"/>
    </xf>
    <xf numFmtId="174" fontId="2" fillId="13" borderId="2" xfId="0" applyNumberFormat="1" applyFont="1" applyFill="1" applyBorder="1" applyAlignment="1" applyProtection="1">
      <alignment horizontal="center" vertical="center"/>
      <protection locked="0"/>
    </xf>
    <xf numFmtId="178" fontId="14" fillId="14" borderId="2" xfId="2" applyNumberFormat="1" applyFont="1" applyFill="1" applyBorder="1" applyAlignment="1">
      <alignment horizontal="center"/>
    </xf>
    <xf numFmtId="1" fontId="28" fillId="14" borderId="2" xfId="2" applyNumberFormat="1" applyFont="1" applyFill="1" applyBorder="1" applyAlignment="1">
      <alignment horizontal="center"/>
    </xf>
    <xf numFmtId="0" fontId="2" fillId="10" borderId="2" xfId="2" applyFont="1" applyFill="1" applyBorder="1" applyAlignment="1">
      <alignment horizontal="center"/>
    </xf>
    <xf numFmtId="0" fontId="0" fillId="7" borderId="15" xfId="0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0" fillId="13" borderId="15" xfId="0" applyFill="1" applyBorder="1" applyAlignment="1" applyProtection="1">
      <alignment horizontal="center" vertical="center"/>
      <protection locked="0"/>
    </xf>
    <xf numFmtId="185" fontId="2" fillId="7" borderId="2" xfId="0" applyNumberFormat="1" applyFont="1" applyFill="1" applyBorder="1" applyAlignment="1">
      <alignment horizontal="center" vertical="center"/>
    </xf>
    <xf numFmtId="186" fontId="0" fillId="7" borderId="16" xfId="0" applyNumberFormat="1" applyFill="1" applyBorder="1" applyAlignment="1">
      <alignment horizontal="center" vertical="center"/>
    </xf>
    <xf numFmtId="186" fontId="2" fillId="7" borderId="15" xfId="0" applyNumberFormat="1" applyFont="1" applyFill="1" applyBorder="1" applyAlignment="1">
      <alignment horizontal="center" vertical="center"/>
    </xf>
    <xf numFmtId="175" fontId="15" fillId="7" borderId="16" xfId="0" applyNumberFormat="1" applyFont="1" applyFill="1" applyBorder="1" applyAlignment="1">
      <alignment horizontal="center" vertical="center"/>
    </xf>
    <xf numFmtId="175" fontId="15" fillId="7" borderId="15" xfId="0" applyNumberFormat="1" applyFont="1" applyFill="1" applyBorder="1" applyAlignment="1">
      <alignment horizontal="center" vertical="center"/>
    </xf>
    <xf numFmtId="175" fontId="2" fillId="7" borderId="16" xfId="0" applyNumberFormat="1" applyFont="1" applyFill="1" applyBorder="1" applyAlignment="1">
      <alignment horizontal="center" vertical="center"/>
    </xf>
    <xf numFmtId="175" fontId="2" fillId="7" borderId="15" xfId="0" applyNumberFormat="1" applyFont="1" applyFill="1" applyBorder="1" applyAlignment="1">
      <alignment horizontal="center" vertical="center"/>
    </xf>
    <xf numFmtId="172" fontId="2" fillId="7" borderId="15" xfId="0" applyNumberFormat="1" applyFont="1" applyFill="1" applyBorder="1" applyAlignment="1">
      <alignment horizontal="center" vertical="center"/>
    </xf>
    <xf numFmtId="172" fontId="2" fillId="7" borderId="16" xfId="0" applyNumberFormat="1" applyFont="1" applyFill="1" applyBorder="1" applyAlignment="1">
      <alignment horizontal="center" vertical="center"/>
    </xf>
    <xf numFmtId="172" fontId="15" fillId="7" borderId="15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2" fillId="11" borderId="24" xfId="0" applyFont="1" applyFill="1" applyBorder="1" applyAlignment="1" applyProtection="1">
      <alignment horizontal="center" vertical="center"/>
      <protection hidden="1"/>
    </xf>
    <xf numFmtId="178" fontId="2" fillId="3" borderId="25" xfId="0" applyNumberFormat="1" applyFont="1" applyFill="1" applyBorder="1" applyAlignment="1" applyProtection="1">
      <alignment horizontal="center" vertical="center"/>
      <protection locked="0"/>
    </xf>
    <xf numFmtId="178" fontId="2" fillId="3" borderId="26" xfId="0" applyNumberFormat="1" applyFont="1" applyFill="1" applyBorder="1" applyAlignment="1" applyProtection="1">
      <alignment horizontal="center" vertical="center"/>
      <protection locked="0"/>
    </xf>
    <xf numFmtId="0" fontId="2" fillId="8" borderId="24" xfId="0" applyFont="1" applyFill="1" applyBorder="1" applyAlignment="1" applyProtection="1">
      <alignment horizontal="center" vertical="center"/>
      <protection hidden="1"/>
    </xf>
    <xf numFmtId="0" fontId="2" fillId="9" borderId="27" xfId="0" applyFont="1" applyFill="1" applyBorder="1" applyAlignment="1" applyProtection="1">
      <alignment horizontal="center" vertical="center"/>
      <protection hidden="1"/>
    </xf>
    <xf numFmtId="0" fontId="0" fillId="9" borderId="27" xfId="0" applyFill="1" applyBorder="1" applyAlignment="1" applyProtection="1">
      <alignment horizontal="center" vertical="center"/>
      <protection hidden="1"/>
    </xf>
    <xf numFmtId="0" fontId="2" fillId="0" borderId="21" xfId="0" applyFont="1" applyBorder="1" applyAlignment="1">
      <alignment vertical="center"/>
    </xf>
    <xf numFmtId="14" fontId="0" fillId="0" borderId="23" xfId="0" applyNumberFormat="1" applyBorder="1" applyAlignment="1">
      <alignment horizontal="center" vertical="center"/>
    </xf>
    <xf numFmtId="189" fontId="2" fillId="7" borderId="25" xfId="0" applyNumberFormat="1" applyFont="1" applyFill="1" applyBorder="1" applyAlignment="1">
      <alignment horizontal="center" vertical="center"/>
    </xf>
    <xf numFmtId="0" fontId="32" fillId="6" borderId="2" xfId="2" applyFont="1" applyFill="1" applyBorder="1" applyAlignment="1" applyProtection="1">
      <alignment horizontal="center"/>
      <protection hidden="1"/>
    </xf>
    <xf numFmtId="178" fontId="32" fillId="5" borderId="2" xfId="2" applyNumberFormat="1" applyFont="1" applyFill="1" applyBorder="1" applyAlignment="1">
      <alignment horizontal="center"/>
    </xf>
    <xf numFmtId="177" fontId="2" fillId="4" borderId="25" xfId="2" applyNumberFormat="1" applyFont="1" applyFill="1" applyBorder="1" applyAlignment="1" applyProtection="1">
      <alignment horizontal="center"/>
      <protection locked="0"/>
    </xf>
    <xf numFmtId="0" fontId="2" fillId="10" borderId="28" xfId="2" applyFont="1" applyFill="1" applyBorder="1" applyAlignment="1" applyProtection="1">
      <alignment horizontal="center"/>
      <protection hidden="1"/>
    </xf>
    <xf numFmtId="0" fontId="2" fillId="10" borderId="29" xfId="2" applyFont="1" applyFill="1" applyBorder="1" applyAlignment="1" applyProtection="1">
      <alignment horizontal="center"/>
      <protection hidden="1"/>
    </xf>
    <xf numFmtId="0" fontId="34" fillId="10" borderId="30" xfId="2" applyFont="1" applyFill="1" applyBorder="1" applyAlignment="1" applyProtection="1">
      <alignment horizontal="center"/>
      <protection hidden="1"/>
    </xf>
    <xf numFmtId="0" fontId="0" fillId="0" borderId="10" xfId="0" applyBorder="1" applyAlignment="1">
      <alignment vertical="center"/>
    </xf>
    <xf numFmtId="0" fontId="15" fillId="0" borderId="10" xfId="2" applyFont="1" applyBorder="1"/>
    <xf numFmtId="0" fontId="15" fillId="0" borderId="31" xfId="2" applyFont="1" applyBorder="1" applyAlignment="1" applyProtection="1">
      <alignment horizontal="center"/>
      <protection hidden="1"/>
    </xf>
    <xf numFmtId="0" fontId="15" fillId="0" borderId="32" xfId="2" applyFont="1" applyBorder="1" applyAlignment="1">
      <alignment horizontal="center"/>
    </xf>
    <xf numFmtId="0" fontId="15" fillId="0" borderId="19" xfId="2" applyFont="1" applyBorder="1" applyAlignment="1" applyProtection="1">
      <alignment horizontal="center"/>
      <protection hidden="1"/>
    </xf>
    <xf numFmtId="0" fontId="15" fillId="0" borderId="20" xfId="2" applyFont="1" applyBorder="1" applyAlignment="1">
      <alignment horizontal="center"/>
    </xf>
    <xf numFmtId="0" fontId="15" fillId="0" borderId="21" xfId="2" applyFont="1" applyBorder="1" applyAlignment="1" applyProtection="1">
      <alignment horizontal="center"/>
      <protection hidden="1"/>
    </xf>
    <xf numFmtId="0" fontId="15" fillId="0" borderId="23" xfId="2" applyFont="1" applyBorder="1" applyAlignment="1">
      <alignment horizontal="center"/>
    </xf>
    <xf numFmtId="0" fontId="15" fillId="0" borderId="20" xfId="2" applyFont="1" applyBorder="1" applyAlignment="1" applyProtection="1">
      <alignment horizontal="center"/>
      <protection hidden="1"/>
    </xf>
    <xf numFmtId="0" fontId="15" fillId="0" borderId="23" xfId="2" applyFont="1" applyBorder="1" applyAlignment="1" applyProtection="1">
      <alignment horizontal="center"/>
      <protection hidden="1"/>
    </xf>
    <xf numFmtId="2" fontId="15" fillId="0" borderId="31" xfId="2" applyNumberFormat="1" applyFont="1" applyBorder="1" applyAlignment="1" applyProtection="1">
      <alignment horizontal="center"/>
      <protection hidden="1"/>
    </xf>
    <xf numFmtId="0" fontId="0" fillId="0" borderId="31" xfId="2" applyFont="1" applyBorder="1" applyAlignment="1" applyProtection="1">
      <alignment horizontal="center"/>
      <protection hidden="1"/>
    </xf>
    <xf numFmtId="0" fontId="0" fillId="0" borderId="33" xfId="2" applyFont="1" applyBorder="1" applyAlignment="1" applyProtection="1">
      <alignment horizontal="center"/>
      <protection hidden="1"/>
    </xf>
    <xf numFmtId="0" fontId="0" fillId="0" borderId="32" xfId="2" applyFont="1" applyBorder="1" applyAlignment="1" applyProtection="1">
      <alignment horizontal="center"/>
      <protection hidden="1"/>
    </xf>
    <xf numFmtId="0" fontId="0" fillId="0" borderId="19" xfId="2" applyFont="1" applyBorder="1" applyAlignment="1" applyProtection="1">
      <alignment horizontal="center"/>
      <protection hidden="1"/>
    </xf>
    <xf numFmtId="0" fontId="15" fillId="0" borderId="22" xfId="2" applyFont="1" applyBorder="1" applyAlignment="1" applyProtection="1">
      <alignment horizontal="center"/>
      <protection hidden="1"/>
    </xf>
    <xf numFmtId="1" fontId="15" fillId="0" borderId="33" xfId="2" applyNumberFormat="1" applyFont="1" applyBorder="1" applyAlignment="1" applyProtection="1">
      <alignment horizontal="center"/>
      <protection hidden="1"/>
    </xf>
    <xf numFmtId="1" fontId="8" fillId="0" borderId="32" xfId="2" applyNumberFormat="1" applyFont="1" applyBorder="1" applyAlignment="1" applyProtection="1">
      <alignment horizontal="center"/>
      <protection hidden="1"/>
    </xf>
    <xf numFmtId="1" fontId="8" fillId="0" borderId="20" xfId="2" applyNumberFormat="1" applyFont="1" applyBorder="1" applyAlignment="1" applyProtection="1">
      <alignment horizontal="center"/>
      <protection hidden="1"/>
    </xf>
    <xf numFmtId="1" fontId="15" fillId="0" borderId="22" xfId="2" applyNumberFormat="1" applyFont="1" applyBorder="1" applyAlignment="1" applyProtection="1">
      <alignment horizontal="center"/>
      <protection hidden="1"/>
    </xf>
    <xf numFmtId="1" fontId="8" fillId="0" borderId="23" xfId="2" applyNumberFormat="1" applyFont="1" applyBorder="1" applyAlignment="1" applyProtection="1">
      <alignment horizontal="center"/>
      <protection hidden="1"/>
    </xf>
    <xf numFmtId="0" fontId="15" fillId="0" borderId="33" xfId="2" applyFont="1" applyBorder="1" applyAlignment="1" applyProtection="1">
      <alignment horizontal="center"/>
      <protection hidden="1"/>
    </xf>
    <xf numFmtId="2" fontId="15" fillId="0" borderId="33" xfId="2" applyNumberFormat="1" applyFont="1" applyBorder="1" applyAlignment="1" applyProtection="1">
      <alignment horizontal="center"/>
      <protection hidden="1"/>
    </xf>
    <xf numFmtId="0" fontId="8" fillId="0" borderId="32" xfId="2" applyFont="1" applyBorder="1" applyAlignment="1" applyProtection="1">
      <alignment horizontal="center"/>
      <protection hidden="1"/>
    </xf>
    <xf numFmtId="0" fontId="8" fillId="0" borderId="20" xfId="2" applyFont="1" applyBorder="1" applyAlignment="1" applyProtection="1">
      <alignment horizontal="center"/>
      <protection hidden="1"/>
    </xf>
    <xf numFmtId="0" fontId="8" fillId="0" borderId="23" xfId="2" applyFont="1" applyBorder="1" applyAlignment="1" applyProtection="1">
      <alignment horizontal="center"/>
      <protection hidden="1"/>
    </xf>
    <xf numFmtId="1" fontId="15" fillId="0" borderId="32" xfId="2" applyNumberFormat="1" applyFont="1" applyBorder="1" applyAlignment="1" applyProtection="1">
      <alignment horizontal="center"/>
      <protection hidden="1"/>
    </xf>
    <xf numFmtId="1" fontId="15" fillId="0" borderId="20" xfId="2" applyNumberFormat="1" applyFont="1" applyBorder="1" applyAlignment="1" applyProtection="1">
      <alignment horizontal="center"/>
      <protection hidden="1"/>
    </xf>
    <xf numFmtId="1" fontId="15" fillId="0" borderId="23" xfId="2" applyNumberFormat="1" applyFont="1" applyBorder="1" applyAlignment="1" applyProtection="1">
      <alignment horizontal="center"/>
      <protection hidden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2" applyFont="1" applyBorder="1" applyAlignment="1" applyProtection="1">
      <alignment horizontal="center"/>
      <protection hidden="1"/>
    </xf>
    <xf numFmtId="165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4" fillId="15" borderId="8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right" vertical="center"/>
    </xf>
    <xf numFmtId="190" fontId="2" fillId="4" borderId="2" xfId="2" applyNumberFormat="1" applyFont="1" applyFill="1" applyBorder="1" applyAlignment="1" applyProtection="1">
      <alignment horizontal="center"/>
      <protection locked="0"/>
    </xf>
    <xf numFmtId="0" fontId="0" fillId="0" borderId="0" xfId="2" applyFont="1"/>
    <xf numFmtId="0" fontId="28" fillId="6" borderId="2" xfId="2" applyFont="1" applyFill="1" applyBorder="1" applyAlignment="1" applyProtection="1">
      <alignment horizontal="center"/>
      <protection hidden="1"/>
    </xf>
    <xf numFmtId="189" fontId="2" fillId="3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2" fillId="11" borderId="18" xfId="1" applyFont="1" applyFill="1" applyBorder="1" applyAlignment="1" applyProtection="1">
      <alignment horizontal="center" vertical="center"/>
      <protection hidden="1"/>
    </xf>
    <xf numFmtId="0" fontId="0" fillId="0" borderId="3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9" xfId="0" applyBorder="1" applyAlignment="1">
      <alignment horizontal="right" vertical="center"/>
    </xf>
    <xf numFmtId="2" fontId="0" fillId="0" borderId="20" xfId="0" applyNumberFormat="1" applyBorder="1" applyAlignment="1">
      <alignment horizontal="center" vertical="center"/>
    </xf>
    <xf numFmtId="0" fontId="0" fillId="0" borderId="21" xfId="0" applyBorder="1" applyAlignment="1">
      <alignment horizontal="right" vertical="center"/>
    </xf>
    <xf numFmtId="2" fontId="0" fillId="0" borderId="23" xfId="0" applyNumberFormat="1" applyBorder="1" applyAlignment="1">
      <alignment horizontal="center" vertical="center"/>
    </xf>
    <xf numFmtId="0" fontId="0" fillId="0" borderId="31" xfId="0" applyBorder="1" applyAlignment="1">
      <alignment horizontal="right" vertical="center"/>
    </xf>
    <xf numFmtId="2" fontId="0" fillId="0" borderId="32" xfId="0" applyNumberForma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1" fontId="2" fillId="0" borderId="23" xfId="0" applyNumberFormat="1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0" fontId="2" fillId="0" borderId="33" xfId="0" applyFont="1" applyBorder="1"/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0" fontId="2" fillId="0" borderId="20" xfId="0" applyFont="1" applyBorder="1"/>
    <xf numFmtId="165" fontId="2" fillId="0" borderId="20" xfId="0" applyNumberFormat="1" applyFont="1" applyBorder="1" applyAlignment="1">
      <alignment horizontal="center" vertical="center"/>
    </xf>
    <xf numFmtId="165" fontId="2" fillId="0" borderId="20" xfId="0" applyNumberFormat="1" applyFont="1" applyBorder="1" applyAlignment="1">
      <alignment horizontal="center"/>
    </xf>
    <xf numFmtId="0" fontId="2" fillId="0" borderId="22" xfId="0" applyFont="1" applyBorder="1"/>
    <xf numFmtId="165" fontId="2" fillId="0" borderId="22" xfId="0" applyNumberFormat="1" applyFont="1" applyBorder="1" applyAlignment="1">
      <alignment horizontal="center" vertical="center"/>
    </xf>
    <xf numFmtId="165" fontId="2" fillId="0" borderId="2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left"/>
    </xf>
    <xf numFmtId="0" fontId="2" fillId="4" borderId="0" xfId="0" applyFont="1" applyFill="1" applyAlignment="1" applyProtection="1">
      <alignment horizontal="center" vertical="center"/>
      <protection locked="0"/>
    </xf>
    <xf numFmtId="0" fontId="2" fillId="0" borderId="2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1" fontId="2" fillId="0" borderId="22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/>
    </xf>
    <xf numFmtId="0" fontId="0" fillId="0" borderId="33" xfId="0" applyBorder="1"/>
    <xf numFmtId="0" fontId="0" fillId="0" borderId="32" xfId="0" applyBorder="1"/>
    <xf numFmtId="0" fontId="0" fillId="0" borderId="20" xfId="0" applyBorder="1"/>
    <xf numFmtId="0" fontId="2" fillId="4" borderId="20" xfId="0" applyFont="1" applyFill="1" applyBorder="1" applyAlignment="1" applyProtection="1">
      <alignment horizontal="center" vertical="center"/>
      <protection locked="0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27" fillId="0" borderId="20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22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4" borderId="23" xfId="0" applyFont="1" applyFill="1" applyBorder="1" applyAlignment="1" applyProtection="1">
      <alignment horizontal="center" vertical="center"/>
      <protection locked="0"/>
    </xf>
    <xf numFmtId="1" fontId="2" fillId="0" borderId="20" xfId="0" applyNumberFormat="1" applyFont="1" applyBorder="1" applyAlignment="1">
      <alignment horizontal="center"/>
    </xf>
    <xf numFmtId="165" fontId="2" fillId="0" borderId="22" xfId="0" applyNumberFormat="1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" fontId="2" fillId="0" borderId="20" xfId="0" applyNumberFormat="1" applyFont="1" applyBorder="1" applyAlignment="1">
      <alignment horizontal="center" vertical="center"/>
    </xf>
    <xf numFmtId="0" fontId="2" fillId="0" borderId="35" xfId="0" applyFont="1" applyBorder="1"/>
    <xf numFmtId="1" fontId="2" fillId="0" borderId="35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4" borderId="32" xfId="0" applyFont="1" applyFill="1" applyBorder="1" applyAlignment="1" applyProtection="1">
      <alignment horizontal="center" vertical="center"/>
      <protection locked="0"/>
    </xf>
    <xf numFmtId="0" fontId="2" fillId="0" borderId="23" xfId="0" applyFont="1" applyBorder="1"/>
    <xf numFmtId="0" fontId="28" fillId="0" borderId="13" xfId="0" applyFont="1" applyBorder="1" applyAlignment="1">
      <alignment horizontal="right" vertical="center"/>
    </xf>
    <xf numFmtId="0" fontId="28" fillId="0" borderId="13" xfId="2" applyFont="1" applyBorder="1" applyAlignment="1">
      <alignment horizontal="right"/>
    </xf>
    <xf numFmtId="2" fontId="0" fillId="16" borderId="31" xfId="0" applyNumberFormat="1" applyFill="1" applyBorder="1" applyAlignment="1">
      <alignment horizontal="center"/>
    </xf>
    <xf numFmtId="2" fontId="0" fillId="16" borderId="33" xfId="0" applyNumberFormat="1" applyFill="1" applyBorder="1" applyAlignment="1">
      <alignment horizontal="center"/>
    </xf>
    <xf numFmtId="2" fontId="0" fillId="16" borderId="32" xfId="0" applyNumberFormat="1" applyFill="1" applyBorder="1" applyAlignment="1">
      <alignment horizontal="center"/>
    </xf>
    <xf numFmtId="0" fontId="0" fillId="16" borderId="31" xfId="0" applyFill="1" applyBorder="1" applyAlignment="1">
      <alignment horizontal="center"/>
    </xf>
    <xf numFmtId="0" fontId="0" fillId="16" borderId="33" xfId="0" applyFill="1" applyBorder="1" applyAlignment="1">
      <alignment horizontal="center"/>
    </xf>
    <xf numFmtId="0" fontId="0" fillId="16" borderId="32" xfId="0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left"/>
    </xf>
    <xf numFmtId="2" fontId="9" fillId="0" borderId="0" xfId="0" applyNumberFormat="1" applyFont="1" applyAlignment="1">
      <alignment horizontal="left"/>
    </xf>
    <xf numFmtId="2" fontId="10" fillId="0" borderId="0" xfId="1" applyNumberFormat="1" applyAlignment="1">
      <alignment horizontal="left"/>
    </xf>
    <xf numFmtId="2" fontId="10" fillId="0" borderId="0" xfId="1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2" fontId="0" fillId="21" borderId="20" xfId="0" applyNumberFormat="1" applyFill="1" applyBorder="1" applyAlignment="1">
      <alignment horizontal="center"/>
    </xf>
    <xf numFmtId="2" fontId="0" fillId="21" borderId="23" xfId="0" applyNumberFormat="1" applyFill="1" applyBorder="1" applyAlignment="1">
      <alignment horizontal="center"/>
    </xf>
    <xf numFmtId="2" fontId="0" fillId="21" borderId="19" xfId="0" applyNumberFormat="1" applyFill="1" applyBorder="1" applyAlignment="1">
      <alignment horizontal="center"/>
    </xf>
    <xf numFmtId="2" fontId="0" fillId="21" borderId="0" xfId="0" applyNumberFormat="1" applyFill="1" applyAlignment="1">
      <alignment horizontal="center"/>
    </xf>
    <xf numFmtId="2" fontId="0" fillId="21" borderId="21" xfId="0" applyNumberFormat="1" applyFill="1" applyBorder="1" applyAlignment="1">
      <alignment horizontal="center"/>
    </xf>
    <xf numFmtId="2" fontId="0" fillId="21" borderId="22" xfId="0" applyNumberFormat="1" applyFill="1" applyBorder="1" applyAlignment="1">
      <alignment horizontal="center"/>
    </xf>
    <xf numFmtId="1" fontId="0" fillId="21" borderId="19" xfId="0" applyNumberFormat="1" applyFill="1" applyBorder="1" applyAlignment="1">
      <alignment horizontal="center"/>
    </xf>
    <xf numFmtId="2" fontId="0" fillId="21" borderId="26" xfId="0" applyNumberFormat="1" applyFill="1" applyBorder="1" applyAlignment="1">
      <alignment horizontal="center"/>
    </xf>
    <xf numFmtId="1" fontId="0" fillId="21" borderId="21" xfId="0" applyNumberFormat="1" applyFill="1" applyBorder="1" applyAlignment="1">
      <alignment horizontal="center"/>
    </xf>
    <xf numFmtId="2" fontId="0" fillId="21" borderId="25" xfId="0" applyNumberFormat="1" applyFill="1" applyBorder="1" applyAlignment="1">
      <alignment horizontal="center"/>
    </xf>
    <xf numFmtId="0" fontId="0" fillId="21" borderId="19" xfId="0" applyFill="1" applyBorder="1"/>
    <xf numFmtId="0" fontId="0" fillId="21" borderId="0" xfId="0" applyFill="1"/>
    <xf numFmtId="0" fontId="0" fillId="21" borderId="20" xfId="0" applyFill="1" applyBorder="1" applyAlignment="1">
      <alignment horizontal="center"/>
    </xf>
    <xf numFmtId="0" fontId="0" fillId="21" borderId="21" xfId="0" applyFill="1" applyBorder="1"/>
    <xf numFmtId="0" fontId="0" fillId="21" borderId="22" xfId="0" applyFill="1" applyBorder="1"/>
    <xf numFmtId="0" fontId="0" fillId="21" borderId="23" xfId="0" applyFill="1" applyBorder="1" applyAlignment="1">
      <alignment horizontal="center"/>
    </xf>
    <xf numFmtId="1" fontId="0" fillId="21" borderId="31" xfId="0" applyNumberFormat="1" applyFill="1" applyBorder="1" applyAlignment="1">
      <alignment horizontal="center"/>
    </xf>
    <xf numFmtId="1" fontId="0" fillId="21" borderId="33" xfId="0" applyNumberFormat="1" applyFill="1" applyBorder="1" applyAlignment="1">
      <alignment horizontal="center"/>
    </xf>
    <xf numFmtId="1" fontId="0" fillId="21" borderId="32" xfId="0" applyNumberFormat="1" applyFill="1" applyBorder="1" applyAlignment="1">
      <alignment horizontal="center"/>
    </xf>
    <xf numFmtId="1" fontId="0" fillId="21" borderId="0" xfId="0" applyNumberFormat="1" applyFill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21" borderId="22" xfId="0" applyNumberFormat="1" applyFill="1" applyBorder="1" applyAlignment="1">
      <alignment horizontal="center"/>
    </xf>
    <xf numFmtId="1" fontId="0" fillId="21" borderId="23" xfId="0" applyNumberFormat="1" applyFill="1" applyBorder="1" applyAlignment="1">
      <alignment horizontal="center"/>
    </xf>
    <xf numFmtId="2" fontId="0" fillId="21" borderId="32" xfId="0" applyNumberFormat="1" applyFill="1" applyBorder="1" applyAlignment="1">
      <alignment horizontal="center"/>
    </xf>
    <xf numFmtId="2" fontId="0" fillId="21" borderId="24" xfId="0" applyNumberFormat="1" applyFill="1" applyBorder="1" applyAlignment="1">
      <alignment horizontal="center"/>
    </xf>
    <xf numFmtId="2" fontId="0" fillId="21" borderId="31" xfId="0" applyNumberFormat="1" applyFill="1" applyBorder="1" applyAlignment="1">
      <alignment horizontal="center"/>
    </xf>
    <xf numFmtId="0" fontId="0" fillId="22" borderId="36" xfId="0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22" borderId="38" xfId="0" applyFill="1" applyBorder="1" applyAlignment="1">
      <alignment horizontal="center"/>
    </xf>
    <xf numFmtId="0" fontId="0" fillId="22" borderId="39" xfId="0" applyFill="1" applyBorder="1" applyAlignment="1">
      <alignment horizontal="center"/>
    </xf>
    <xf numFmtId="0" fontId="0" fillId="22" borderId="40" xfId="0" applyFill="1" applyBorder="1" applyAlignment="1">
      <alignment horizontal="center"/>
    </xf>
    <xf numFmtId="0" fontId="0" fillId="22" borderId="41" xfId="0" applyFill="1" applyBorder="1" applyAlignment="1">
      <alignment horizontal="center"/>
    </xf>
    <xf numFmtId="0" fontId="0" fillId="22" borderId="42" xfId="0" applyFill="1" applyBorder="1" applyAlignment="1">
      <alignment horizontal="center"/>
    </xf>
    <xf numFmtId="0" fontId="0" fillId="22" borderId="43" xfId="0" applyFill="1" applyBorder="1" applyAlignment="1">
      <alignment horizontal="center"/>
    </xf>
    <xf numFmtId="0" fontId="0" fillId="22" borderId="44" xfId="0" applyFill="1" applyBorder="1" applyAlignment="1">
      <alignment horizontal="center"/>
    </xf>
    <xf numFmtId="0" fontId="0" fillId="22" borderId="45" xfId="0" applyFill="1" applyBorder="1" applyAlignment="1">
      <alignment horizontal="center"/>
    </xf>
    <xf numFmtId="0" fontId="0" fillId="22" borderId="46" xfId="0" applyFill="1" applyBorder="1" applyAlignment="1">
      <alignment horizontal="center"/>
    </xf>
    <xf numFmtId="0" fontId="0" fillId="22" borderId="47" xfId="0" applyFill="1" applyBorder="1" applyAlignment="1">
      <alignment horizontal="center"/>
    </xf>
    <xf numFmtId="0" fontId="0" fillId="22" borderId="48" xfId="0" applyFill="1" applyBorder="1" applyAlignment="1">
      <alignment horizontal="center"/>
    </xf>
    <xf numFmtId="0" fontId="0" fillId="22" borderId="49" xfId="0" applyFill="1" applyBorder="1" applyAlignment="1">
      <alignment horizontal="center"/>
    </xf>
    <xf numFmtId="0" fontId="0" fillId="22" borderId="50" xfId="0" applyFill="1" applyBorder="1" applyAlignment="1">
      <alignment horizontal="center"/>
    </xf>
    <xf numFmtId="0" fontId="8" fillId="22" borderId="36" xfId="0" applyFont="1" applyFill="1" applyBorder="1" applyAlignment="1">
      <alignment horizontal="center"/>
    </xf>
    <xf numFmtId="0" fontId="15" fillId="22" borderId="37" xfId="0" applyFont="1" applyFill="1" applyBorder="1" applyAlignment="1">
      <alignment horizontal="center"/>
    </xf>
    <xf numFmtId="2" fontId="0" fillId="23" borderId="19" xfId="0" applyNumberFormat="1" applyFill="1" applyBorder="1" applyAlignment="1">
      <alignment horizontal="center"/>
    </xf>
    <xf numFmtId="2" fontId="0" fillId="23" borderId="21" xfId="0" applyNumberFormat="1" applyFill="1" applyBorder="1" applyAlignment="1">
      <alignment horizontal="center"/>
    </xf>
    <xf numFmtId="2" fontId="0" fillId="24" borderId="32" xfId="0" applyNumberFormat="1" applyFill="1" applyBorder="1" applyAlignment="1">
      <alignment horizontal="center"/>
    </xf>
    <xf numFmtId="2" fontId="0" fillId="24" borderId="31" xfId="0" applyNumberFormat="1" applyFill="1" applyBorder="1" applyAlignment="1">
      <alignment horizontal="center"/>
    </xf>
    <xf numFmtId="2" fontId="0" fillId="24" borderId="33" xfId="0" applyNumberFormat="1" applyFill="1" applyBorder="1" applyAlignment="1">
      <alignment horizontal="center"/>
    </xf>
    <xf numFmtId="0" fontId="0" fillId="25" borderId="51" xfId="0" applyFill="1" applyBorder="1" applyAlignment="1">
      <alignment horizontal="center"/>
    </xf>
    <xf numFmtId="184" fontId="0" fillId="25" borderId="11" xfId="0" applyNumberFormat="1" applyFill="1" applyBorder="1" applyAlignment="1">
      <alignment horizontal="center"/>
    </xf>
    <xf numFmtId="173" fontId="0" fillId="25" borderId="11" xfId="0" applyNumberFormat="1" applyFill="1" applyBorder="1" applyAlignment="1">
      <alignment horizontal="center"/>
    </xf>
    <xf numFmtId="164" fontId="0" fillId="24" borderId="11" xfId="0" applyNumberFormat="1" applyFill="1" applyBorder="1" applyAlignment="1">
      <alignment horizontal="center"/>
    </xf>
    <xf numFmtId="164" fontId="0" fillId="25" borderId="11" xfId="0" applyNumberFormat="1" applyFill="1" applyBorder="1" applyAlignment="1">
      <alignment horizontal="center"/>
    </xf>
    <xf numFmtId="178" fontId="0" fillId="24" borderId="11" xfId="0" applyNumberFormat="1" applyFill="1" applyBorder="1" applyAlignment="1">
      <alignment horizontal="center"/>
    </xf>
    <xf numFmtId="0" fontId="0" fillId="24" borderId="11" xfId="0" applyFill="1" applyBorder="1" applyAlignment="1">
      <alignment horizontal="center"/>
    </xf>
    <xf numFmtId="0" fontId="0" fillId="25" borderId="52" xfId="0" applyFill="1" applyBorder="1" applyAlignment="1">
      <alignment horizontal="center"/>
    </xf>
    <xf numFmtId="0" fontId="0" fillId="25" borderId="53" xfId="0" applyFill="1" applyBorder="1" applyAlignment="1">
      <alignment horizontal="center"/>
    </xf>
    <xf numFmtId="0" fontId="2" fillId="26" borderId="52" xfId="0" applyFont="1" applyFill="1" applyBorder="1" applyAlignment="1">
      <alignment horizontal="center"/>
    </xf>
    <xf numFmtId="0" fontId="0" fillId="26" borderId="54" xfId="0" applyFill="1" applyBorder="1" applyAlignment="1">
      <alignment horizontal="center"/>
    </xf>
    <xf numFmtId="0" fontId="0" fillId="26" borderId="53" xfId="0" applyFill="1" applyBorder="1" applyAlignment="1">
      <alignment horizontal="center"/>
    </xf>
    <xf numFmtId="0" fontId="0" fillId="25" borderId="55" xfId="0" applyFill="1" applyBorder="1" applyAlignment="1">
      <alignment horizontal="center"/>
    </xf>
    <xf numFmtId="0" fontId="0" fillId="25" borderId="56" xfId="0" applyFill="1" applyBorder="1" applyAlignment="1">
      <alignment horizontal="center"/>
    </xf>
    <xf numFmtId="0" fontId="0" fillId="25" borderId="57" xfId="0" applyFill="1" applyBorder="1" applyAlignment="1">
      <alignment horizontal="center"/>
    </xf>
    <xf numFmtId="0" fontId="0" fillId="25" borderId="58" xfId="0" applyFill="1" applyBorder="1" applyAlignment="1">
      <alignment horizontal="center"/>
    </xf>
    <xf numFmtId="0" fontId="0" fillId="25" borderId="59" xfId="0" applyFill="1" applyBorder="1" applyAlignment="1">
      <alignment horizontal="center"/>
    </xf>
    <xf numFmtId="0" fontId="0" fillId="25" borderId="60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3" borderId="56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0" xfId="0" applyFill="1" applyAlignment="1">
      <alignment horizontal="center"/>
    </xf>
    <xf numFmtId="183" fontId="0" fillId="25" borderId="58" xfId="0" applyNumberFormat="1" applyFill="1" applyBorder="1" applyAlignment="1">
      <alignment horizontal="center"/>
    </xf>
    <xf numFmtId="183" fontId="0" fillId="25" borderId="59" xfId="0" applyNumberForma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169" fontId="0" fillId="3" borderId="56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51" xfId="0" applyFill="1" applyBorder="1" applyAlignment="1">
      <alignment horizontal="center"/>
    </xf>
    <xf numFmtId="183" fontId="0" fillId="26" borderId="51" xfId="0" applyNumberFormat="1" applyFill="1" applyBorder="1" applyAlignment="1">
      <alignment horizontal="center"/>
    </xf>
    <xf numFmtId="0" fontId="0" fillId="24" borderId="57" xfId="0" applyFill="1" applyBorder="1" applyAlignment="1">
      <alignment horizontal="center"/>
    </xf>
    <xf numFmtId="0" fontId="0" fillId="24" borderId="62" xfId="0" applyFill="1" applyBorder="1" applyAlignment="1">
      <alignment horizontal="center"/>
    </xf>
    <xf numFmtId="183" fontId="0" fillId="25" borderId="60" xfId="0" applyNumberFormat="1" applyFill="1" applyBorder="1" applyAlignment="1">
      <alignment horizontal="center"/>
    </xf>
    <xf numFmtId="0" fontId="43" fillId="0" borderId="0" xfId="0" applyFont="1" applyAlignment="1">
      <alignment vertical="center"/>
    </xf>
    <xf numFmtId="0" fontId="44" fillId="0" borderId="0" xfId="2" applyFont="1"/>
    <xf numFmtId="0" fontId="44" fillId="27" borderId="2" xfId="2" applyFont="1" applyFill="1" applyBorder="1" applyAlignment="1" applyProtection="1">
      <alignment horizontal="center"/>
      <protection hidden="1"/>
    </xf>
    <xf numFmtId="177" fontId="45" fillId="5" borderId="2" xfId="2" applyNumberFormat="1" applyFont="1" applyFill="1" applyBorder="1" applyAlignment="1" applyProtection="1">
      <alignment horizontal="center"/>
      <protection hidden="1"/>
    </xf>
    <xf numFmtId="0" fontId="43" fillId="0" borderId="0" xfId="2" applyFont="1"/>
    <xf numFmtId="0" fontId="46" fillId="0" borderId="10" xfId="2" applyFont="1" applyBorder="1" applyAlignment="1">
      <alignment horizontal="right"/>
    </xf>
    <xf numFmtId="0" fontId="44" fillId="0" borderId="10" xfId="2" applyFont="1" applyBorder="1"/>
    <xf numFmtId="0" fontId="47" fillId="0" borderId="10" xfId="2" applyFont="1" applyBorder="1" applyAlignment="1">
      <alignment horizontal="left"/>
    </xf>
    <xf numFmtId="0" fontId="46" fillId="0" borderId="10" xfId="2" applyFont="1" applyBorder="1"/>
    <xf numFmtId="0" fontId="46" fillId="0" borderId="7" xfId="0" applyFont="1" applyBorder="1" applyAlignment="1">
      <alignment horizontal="right" vertical="center"/>
    </xf>
    <xf numFmtId="0" fontId="47" fillId="0" borderId="7" xfId="0" applyFont="1" applyBorder="1" applyAlignment="1">
      <alignment horizontal="right" vertical="center"/>
    </xf>
    <xf numFmtId="166" fontId="0" fillId="0" borderId="7" xfId="0" applyNumberFormat="1" applyBorder="1" applyAlignment="1">
      <alignment horizontal="right" vertical="center"/>
    </xf>
    <xf numFmtId="193" fontId="0" fillId="3" borderId="11" xfId="0" applyNumberFormat="1" applyFill="1" applyBorder="1" applyAlignment="1">
      <alignment horizontal="center"/>
    </xf>
    <xf numFmtId="0" fontId="0" fillId="28" borderId="24" xfId="0" applyFill="1" applyBorder="1" applyAlignment="1">
      <alignment horizontal="center"/>
    </xf>
    <xf numFmtId="0" fontId="0" fillId="29" borderId="26" xfId="0" applyFill="1" applyBorder="1" applyAlignment="1">
      <alignment horizontal="center"/>
    </xf>
    <xf numFmtId="186" fontId="0" fillId="25" borderId="11" xfId="0" applyNumberFormat="1" applyFill="1" applyBorder="1" applyAlignment="1">
      <alignment horizontal="center"/>
    </xf>
    <xf numFmtId="176" fontId="31" fillId="5" borderId="24" xfId="2" applyNumberFormat="1" applyFont="1" applyFill="1" applyBorder="1" applyAlignment="1" applyProtection="1">
      <alignment horizontal="center"/>
      <protection hidden="1"/>
    </xf>
    <xf numFmtId="176" fontId="31" fillId="5" borderId="26" xfId="2" applyNumberFormat="1" applyFont="1" applyFill="1" applyBorder="1" applyAlignment="1" applyProtection="1">
      <alignment horizontal="center"/>
      <protection hidden="1"/>
    </xf>
    <xf numFmtId="176" fontId="31" fillId="5" borderId="25" xfId="2" applyNumberFormat="1" applyFont="1" applyFill="1" applyBorder="1" applyAlignment="1" applyProtection="1">
      <alignment horizontal="center"/>
      <protection hidden="1"/>
    </xf>
    <xf numFmtId="0" fontId="31" fillId="5" borderId="63" xfId="2" applyFont="1" applyFill="1" applyBorder="1" applyAlignment="1">
      <alignment horizontal="center"/>
    </xf>
    <xf numFmtId="0" fontId="31" fillId="5" borderId="20" xfId="2" applyFont="1" applyFill="1" applyBorder="1" applyAlignment="1">
      <alignment horizontal="center"/>
    </xf>
    <xf numFmtId="0" fontId="31" fillId="5" borderId="23" xfId="2" applyFont="1" applyFill="1" applyBorder="1" applyAlignment="1">
      <alignment horizontal="center"/>
    </xf>
    <xf numFmtId="176" fontId="31" fillId="5" borderId="63" xfId="2" applyNumberFormat="1" applyFont="1" applyFill="1" applyBorder="1" applyAlignment="1">
      <alignment horizontal="center"/>
    </xf>
    <xf numFmtId="196" fontId="31" fillId="5" borderId="63" xfId="2" applyNumberFormat="1" applyFont="1" applyFill="1" applyBorder="1" applyAlignment="1">
      <alignment horizontal="center"/>
    </xf>
    <xf numFmtId="196" fontId="31" fillId="5" borderId="20" xfId="2" applyNumberFormat="1" applyFont="1" applyFill="1" applyBorder="1" applyAlignment="1">
      <alignment horizontal="center"/>
    </xf>
    <xf numFmtId="196" fontId="31" fillId="5" borderId="23" xfId="2" applyNumberFormat="1" applyFont="1" applyFill="1" applyBorder="1" applyAlignment="1">
      <alignment horizontal="center"/>
    </xf>
    <xf numFmtId="174" fontId="31" fillId="5" borderId="63" xfId="2" applyNumberFormat="1" applyFont="1" applyFill="1" applyBorder="1" applyAlignment="1">
      <alignment horizontal="center"/>
    </xf>
    <xf numFmtId="174" fontId="31" fillId="5" borderId="20" xfId="2" applyNumberFormat="1" applyFont="1" applyFill="1" applyBorder="1" applyAlignment="1">
      <alignment horizontal="center"/>
    </xf>
    <xf numFmtId="174" fontId="31" fillId="5" borderId="23" xfId="2" applyNumberFormat="1" applyFont="1" applyFill="1" applyBorder="1" applyAlignment="1">
      <alignment horizontal="center"/>
    </xf>
    <xf numFmtId="167" fontId="31" fillId="5" borderId="63" xfId="2" applyNumberFormat="1" applyFont="1" applyFill="1" applyBorder="1" applyAlignment="1">
      <alignment horizontal="center"/>
    </xf>
    <xf numFmtId="167" fontId="31" fillId="5" borderId="20" xfId="2" applyNumberFormat="1" applyFont="1" applyFill="1" applyBorder="1" applyAlignment="1">
      <alignment horizontal="center"/>
    </xf>
    <xf numFmtId="167" fontId="31" fillId="5" borderId="23" xfId="2" applyNumberFormat="1" applyFont="1" applyFill="1" applyBorder="1" applyAlignment="1">
      <alignment horizontal="center"/>
    </xf>
    <xf numFmtId="170" fontId="31" fillId="5" borderId="63" xfId="2" applyNumberFormat="1" applyFont="1" applyFill="1" applyBorder="1" applyAlignment="1">
      <alignment horizontal="center"/>
    </xf>
    <xf numFmtId="170" fontId="31" fillId="5" borderId="20" xfId="2" applyNumberFormat="1" applyFont="1" applyFill="1" applyBorder="1" applyAlignment="1">
      <alignment horizontal="center"/>
    </xf>
    <xf numFmtId="170" fontId="31" fillId="5" borderId="23" xfId="2" applyNumberFormat="1" applyFont="1" applyFill="1" applyBorder="1" applyAlignment="1">
      <alignment horizontal="center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0" fillId="9" borderId="2" xfId="0" applyFill="1" applyBorder="1" applyAlignment="1" applyProtection="1">
      <alignment horizontal="center" vertical="center"/>
      <protection hidden="1"/>
    </xf>
    <xf numFmtId="0" fontId="0" fillId="0" borderId="22" xfId="0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187" fontId="2" fillId="7" borderId="2" xfId="0" applyNumberFormat="1" applyFont="1" applyFill="1" applyBorder="1" applyAlignment="1">
      <alignment horizontal="center" vertical="center"/>
    </xf>
    <xf numFmtId="197" fontId="31" fillId="5" borderId="24" xfId="2" applyNumberFormat="1" applyFont="1" applyFill="1" applyBorder="1" applyAlignment="1">
      <alignment horizontal="center"/>
    </xf>
    <xf numFmtId="197" fontId="31" fillId="5" borderId="26" xfId="2" applyNumberFormat="1" applyFont="1" applyFill="1" applyBorder="1" applyAlignment="1">
      <alignment horizontal="center"/>
    </xf>
    <xf numFmtId="197" fontId="31" fillId="5" borderId="25" xfId="2" applyNumberFormat="1" applyFont="1" applyFill="1" applyBorder="1" applyAlignment="1">
      <alignment horizontal="center"/>
    </xf>
    <xf numFmtId="0" fontId="43" fillId="0" borderId="0" xfId="2" applyFont="1" applyAlignment="1" applyProtection="1">
      <alignment horizontal="right"/>
      <protection hidden="1"/>
    </xf>
    <xf numFmtId="0" fontId="2" fillId="0" borderId="31" xfId="0" applyFont="1" applyBorder="1"/>
    <xf numFmtId="0" fontId="2" fillId="0" borderId="32" xfId="0" applyFont="1" applyBorder="1"/>
    <xf numFmtId="0" fontId="2" fillId="0" borderId="21" xfId="0" applyFont="1" applyBorder="1"/>
    <xf numFmtId="0" fontId="2" fillId="0" borderId="19" xfId="0" applyFont="1" applyBorder="1" applyAlignment="1">
      <alignment horizontal="left"/>
    </xf>
    <xf numFmtId="14" fontId="2" fillId="0" borderId="23" xfId="0" applyNumberFormat="1" applyFont="1" applyBorder="1" applyAlignment="1">
      <alignment horizontal="center"/>
    </xf>
    <xf numFmtId="0" fontId="15" fillId="0" borderId="0" xfId="0" applyFont="1" applyAlignment="1">
      <alignment horizontal="right"/>
    </xf>
    <xf numFmtId="0" fontId="40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19" xfId="0" applyFont="1" applyBorder="1"/>
    <xf numFmtId="0" fontId="2" fillId="0" borderId="34" xfId="0" applyFont="1" applyBorder="1"/>
    <xf numFmtId="0" fontId="2" fillId="0" borderId="1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201" fontId="15" fillId="0" borderId="0" xfId="0" applyNumberFormat="1" applyFont="1"/>
    <xf numFmtId="191" fontId="0" fillId="0" borderId="0" xfId="0" applyNumberFormat="1"/>
    <xf numFmtId="192" fontId="0" fillId="0" borderId="0" xfId="0" applyNumberFormat="1"/>
    <xf numFmtId="0" fontId="41" fillId="0" borderId="0" xfId="0" applyFont="1"/>
    <xf numFmtId="192" fontId="2" fillId="30" borderId="32" xfId="0" applyNumberFormat="1" applyFont="1" applyFill="1" applyBorder="1" applyProtection="1">
      <protection locked="0"/>
    </xf>
    <xf numFmtId="198" fontId="2" fillId="0" borderId="23" xfId="0" applyNumberFormat="1" applyFont="1" applyBorder="1"/>
    <xf numFmtId="0" fontId="40" fillId="0" borderId="0" xfId="0" applyFont="1"/>
    <xf numFmtId="3" fontId="2" fillId="30" borderId="32" xfId="0" applyNumberFormat="1" applyFont="1" applyFill="1" applyBorder="1" applyAlignment="1">
      <alignment horizontal="center"/>
    </xf>
    <xf numFmtId="191" fontId="2" fillId="0" borderId="33" xfId="0" applyNumberFormat="1" applyFont="1" applyBorder="1" applyAlignment="1">
      <alignment horizontal="center"/>
    </xf>
    <xf numFmtId="192" fontId="2" fillId="0" borderId="32" xfId="0" applyNumberFormat="1" applyFont="1" applyBorder="1" applyAlignment="1">
      <alignment horizontal="center"/>
    </xf>
    <xf numFmtId="191" fontId="2" fillId="0" borderId="22" xfId="0" applyNumberFormat="1" applyFont="1" applyBorder="1" applyAlignment="1">
      <alignment horizontal="center"/>
    </xf>
    <xf numFmtId="192" fontId="2" fillId="0" borderId="23" xfId="0" applyNumberFormat="1" applyFont="1" applyBorder="1" applyAlignment="1">
      <alignment horizontal="center"/>
    </xf>
    <xf numFmtId="192" fontId="2" fillId="30" borderId="32" xfId="0" applyNumberFormat="1" applyFont="1" applyFill="1" applyBorder="1" applyAlignment="1" applyProtection="1">
      <alignment horizontal="center"/>
      <protection locked="0"/>
    </xf>
    <xf numFmtId="202" fontId="2" fillId="0" borderId="23" xfId="0" applyNumberFormat="1" applyFont="1" applyBorder="1" applyAlignment="1">
      <alignment horizontal="center"/>
    </xf>
    <xf numFmtId="201" fontId="2" fillId="0" borderId="23" xfId="0" applyNumberFormat="1" applyFont="1" applyBorder="1" applyAlignment="1">
      <alignment horizontal="center"/>
    </xf>
    <xf numFmtId="199" fontId="2" fillId="0" borderId="33" xfId="0" applyNumberFormat="1" applyFont="1" applyBorder="1" applyAlignment="1">
      <alignment horizontal="center"/>
    </xf>
    <xf numFmtId="200" fontId="2" fillId="0" borderId="32" xfId="0" applyNumberFormat="1" applyFont="1" applyBorder="1" applyAlignment="1">
      <alignment horizontal="center"/>
    </xf>
    <xf numFmtId="191" fontId="2" fillId="0" borderId="0" xfId="0" applyNumberFormat="1" applyFont="1" applyAlignment="1">
      <alignment horizontal="center"/>
    </xf>
    <xf numFmtId="192" fontId="2" fillId="0" borderId="20" xfId="0" applyNumberFormat="1" applyFont="1" applyBorder="1" applyAlignment="1">
      <alignment horizontal="center"/>
    </xf>
    <xf numFmtId="0" fontId="15" fillId="0" borderId="10" xfId="0" applyFont="1" applyBorder="1"/>
    <xf numFmtId="0" fontId="0" fillId="29" borderId="20" xfId="0" applyFill="1" applyBorder="1" applyAlignment="1">
      <alignment horizontal="center"/>
    </xf>
    <xf numFmtId="0" fontId="0" fillId="31" borderId="65" xfId="0" applyFill="1" applyBorder="1" applyAlignment="1">
      <alignment horizontal="center"/>
    </xf>
    <xf numFmtId="186" fontId="0" fillId="24" borderId="11" xfId="0" applyNumberFormat="1" applyFill="1" applyBorder="1" applyAlignment="1">
      <alignment horizontal="center"/>
    </xf>
    <xf numFmtId="203" fontId="0" fillId="24" borderId="11" xfId="0" applyNumberFormat="1" applyFill="1" applyBorder="1" applyAlignment="1">
      <alignment horizontal="center"/>
    </xf>
    <xf numFmtId="0" fontId="2" fillId="11" borderId="66" xfId="0" applyFont="1" applyFill="1" applyBorder="1" applyAlignment="1" applyProtection="1">
      <alignment horizontal="center" vertical="center"/>
      <protection hidden="1"/>
    </xf>
    <xf numFmtId="164" fontId="2" fillId="17" borderId="24" xfId="0" applyNumberFormat="1" applyFont="1" applyFill="1" applyBorder="1" applyAlignment="1">
      <alignment horizontal="center" vertical="center"/>
    </xf>
    <xf numFmtId="0" fontId="2" fillId="11" borderId="67" xfId="0" applyFont="1" applyFill="1" applyBorder="1" applyAlignment="1" applyProtection="1">
      <alignment horizontal="center" vertical="center"/>
      <protection hidden="1"/>
    </xf>
    <xf numFmtId="170" fontId="2" fillId="3" borderId="25" xfId="0" applyNumberFormat="1" applyFont="1" applyFill="1" applyBorder="1" applyAlignment="1" applyProtection="1">
      <alignment horizontal="center" vertical="center"/>
      <protection locked="0"/>
    </xf>
    <xf numFmtId="0" fontId="2" fillId="28" borderId="2" xfId="0" applyFont="1" applyFill="1" applyBorder="1" applyAlignment="1">
      <alignment horizontal="center" vertical="center"/>
    </xf>
    <xf numFmtId="0" fontId="0" fillId="30" borderId="0" xfId="0" applyFill="1"/>
    <xf numFmtId="0" fontId="0" fillId="30" borderId="0" xfId="0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29" borderId="25" xfId="0" applyFill="1" applyBorder="1" applyAlignment="1">
      <alignment horizontal="center"/>
    </xf>
    <xf numFmtId="0" fontId="1" fillId="0" borderId="0" xfId="2" applyProtection="1">
      <protection locked="0"/>
    </xf>
    <xf numFmtId="0" fontId="1" fillId="0" borderId="0" xfId="2"/>
    <xf numFmtId="0" fontId="34" fillId="0" borderId="0" xfId="2" applyFont="1"/>
    <xf numFmtId="186" fontId="0" fillId="0" borderId="0" xfId="0" applyNumberFormat="1" applyAlignment="1">
      <alignment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Alignment="1">
      <alignment horizontal="right" vertical="center"/>
    </xf>
    <xf numFmtId="0" fontId="0" fillId="30" borderId="2" xfId="0" applyFill="1" applyBorder="1" applyAlignment="1">
      <alignment vertical="center"/>
    </xf>
    <xf numFmtId="164" fontId="2" fillId="18" borderId="24" xfId="0" applyNumberFormat="1" applyFont="1" applyFill="1" applyBorder="1" applyAlignment="1" applyProtection="1">
      <alignment horizontal="center" vertical="center"/>
      <protection locked="0"/>
    </xf>
    <xf numFmtId="0" fontId="10" fillId="0" borderId="0" xfId="1" applyAlignment="1" applyProtection="1">
      <alignment horizontal="left"/>
      <protection hidden="1"/>
    </xf>
    <xf numFmtId="166" fontId="48" fillId="0" borderId="0" xfId="0" applyNumberFormat="1" applyFont="1" applyAlignment="1">
      <alignment vertical="center"/>
    </xf>
    <xf numFmtId="0" fontId="2" fillId="0" borderId="0" xfId="0" applyFont="1" applyAlignment="1" applyProtection="1">
      <alignment horizontal="center" vertical="center"/>
      <protection hidden="1"/>
    </xf>
    <xf numFmtId="186" fontId="2" fillId="0" borderId="0" xfId="0" applyNumberFormat="1" applyFont="1" applyAlignment="1">
      <alignment horizontal="center" vertical="center"/>
    </xf>
    <xf numFmtId="204" fontId="2" fillId="32" borderId="2" xfId="0" applyNumberFormat="1" applyFont="1" applyFill="1" applyBorder="1" applyAlignment="1">
      <alignment horizontal="center" vertical="center"/>
    </xf>
    <xf numFmtId="175" fontId="0" fillId="7" borderId="46" xfId="0" applyNumberFormat="1" applyFill="1" applyBorder="1" applyAlignment="1">
      <alignment horizontal="center" vertical="center"/>
    </xf>
    <xf numFmtId="175" fontId="2" fillId="7" borderId="2" xfId="0" applyNumberFormat="1" applyFont="1" applyFill="1" applyBorder="1" applyAlignment="1">
      <alignment horizontal="center" vertical="center"/>
    </xf>
    <xf numFmtId="166" fontId="2" fillId="0" borderId="0" xfId="0" applyNumberFormat="1" applyFont="1" applyAlignment="1">
      <alignment horizontal="right" vertical="center"/>
    </xf>
    <xf numFmtId="0" fontId="2" fillId="9" borderId="46" xfId="0" applyFont="1" applyFill="1" applyBorder="1" applyAlignment="1" applyProtection="1">
      <alignment horizontal="center" vertical="center"/>
      <protection hidden="1"/>
    </xf>
    <xf numFmtId="0" fontId="5" fillId="9" borderId="46" xfId="0" applyFont="1" applyFill="1" applyBorder="1" applyAlignment="1" applyProtection="1">
      <alignment horizontal="center" vertical="center"/>
      <protection hidden="1"/>
    </xf>
    <xf numFmtId="2" fontId="0" fillId="7" borderId="68" xfId="0" applyNumberFormat="1" applyFill="1" applyBorder="1" applyAlignment="1">
      <alignment horizontal="center" vertical="center"/>
    </xf>
    <xf numFmtId="187" fontId="2" fillId="7" borderId="68" xfId="0" applyNumberFormat="1" applyFont="1" applyFill="1" applyBorder="1" applyAlignment="1">
      <alignment horizontal="center" vertical="center"/>
    </xf>
    <xf numFmtId="165" fontId="0" fillId="7" borderId="69" xfId="0" applyNumberFormat="1" applyFill="1" applyBorder="1" applyAlignment="1">
      <alignment horizontal="center" vertical="center"/>
    </xf>
    <xf numFmtId="188" fontId="2" fillId="7" borderId="70" xfId="0" applyNumberFormat="1" applyFont="1" applyFill="1" applyBorder="1" applyAlignment="1">
      <alignment horizontal="center" vertical="center"/>
    </xf>
    <xf numFmtId="165" fontId="0" fillId="7" borderId="71" xfId="0" applyNumberFormat="1" applyFill="1" applyBorder="1" applyAlignment="1">
      <alignment horizontal="center" vertical="center"/>
    </xf>
    <xf numFmtId="165" fontId="0" fillId="7" borderId="70" xfId="0" applyNumberFormat="1" applyFill="1" applyBorder="1" applyAlignment="1">
      <alignment horizontal="center" vertical="center"/>
    </xf>
    <xf numFmtId="186" fontId="0" fillId="7" borderId="43" xfId="0" applyNumberFormat="1" applyFill="1" applyBorder="1" applyAlignment="1">
      <alignment horizontal="center" vertical="center"/>
    </xf>
    <xf numFmtId="165" fontId="0" fillId="7" borderId="72" xfId="0" applyNumberFormat="1" applyFill="1" applyBorder="1" applyAlignment="1">
      <alignment horizontal="center" vertical="center"/>
    </xf>
    <xf numFmtId="166" fontId="2" fillId="27" borderId="14" xfId="0" applyNumberFormat="1" applyFont="1" applyFill="1" applyBorder="1" applyAlignment="1">
      <alignment horizontal="center" vertical="center"/>
    </xf>
    <xf numFmtId="0" fontId="0" fillId="32" borderId="2" xfId="0" applyFill="1" applyBorder="1" applyAlignment="1">
      <alignment vertical="center"/>
    </xf>
    <xf numFmtId="187" fontId="0" fillId="7" borderId="73" xfId="0" applyNumberFormat="1" applyFill="1" applyBorder="1" applyAlignment="1">
      <alignment horizontal="center" vertical="center"/>
    </xf>
    <xf numFmtId="205" fontId="0" fillId="32" borderId="2" xfId="0" applyNumberFormat="1" applyFill="1" applyBorder="1" applyAlignment="1">
      <alignment horizontal="center" vertical="center"/>
    </xf>
    <xf numFmtId="206" fontId="15" fillId="0" borderId="0" xfId="2" applyNumberFormat="1" applyFont="1" applyProtection="1">
      <protection hidden="1"/>
    </xf>
    <xf numFmtId="175" fontId="2" fillId="0" borderId="0" xfId="2" applyNumberFormat="1" applyFont="1" applyProtection="1">
      <protection locked="0"/>
    </xf>
    <xf numFmtId="186" fontId="2" fillId="30" borderId="2" xfId="0" applyNumberFormat="1" applyFont="1" applyFill="1" applyBorder="1" applyAlignment="1">
      <alignment horizontal="center" vertical="center"/>
    </xf>
    <xf numFmtId="177" fontId="2" fillId="0" borderId="0" xfId="2" applyNumberFormat="1" applyFont="1"/>
    <xf numFmtId="170" fontId="2" fillId="33" borderId="25" xfId="0" applyNumberFormat="1" applyFont="1" applyFill="1" applyBorder="1" applyAlignment="1" applyProtection="1">
      <alignment horizontal="center" vertical="center"/>
      <protection locked="0"/>
    </xf>
    <xf numFmtId="165" fontId="2" fillId="5" borderId="34" xfId="2" applyNumberFormat="1" applyFont="1" applyFill="1" applyBorder="1" applyAlignment="1">
      <alignment horizontal="center"/>
    </xf>
    <xf numFmtId="178" fontId="14" fillId="5" borderId="34" xfId="2" applyNumberFormat="1" applyFont="1" applyFill="1" applyBorder="1"/>
    <xf numFmtId="179" fontId="30" fillId="5" borderId="24" xfId="2" applyNumberFormat="1" applyFont="1" applyFill="1" applyBorder="1" applyAlignment="1" applyProtection="1">
      <alignment horizontal="center" vertical="center"/>
      <protection hidden="1"/>
    </xf>
    <xf numFmtId="0" fontId="30" fillId="5" borderId="24" xfId="2" applyFont="1" applyFill="1" applyBorder="1" applyAlignment="1" applyProtection="1">
      <alignment horizontal="center" vertical="center"/>
      <protection hidden="1"/>
    </xf>
    <xf numFmtId="2" fontId="15" fillId="0" borderId="19" xfId="2" applyNumberFormat="1" applyFont="1" applyBorder="1" applyAlignment="1" applyProtection="1">
      <alignment horizontal="center"/>
      <protection hidden="1"/>
    </xf>
    <xf numFmtId="2" fontId="15" fillId="0" borderId="20" xfId="2" applyNumberFormat="1" applyFont="1" applyBorder="1" applyAlignment="1" applyProtection="1">
      <alignment horizontal="center"/>
      <protection hidden="1"/>
    </xf>
    <xf numFmtId="2" fontId="15" fillId="0" borderId="0" xfId="2" applyNumberFormat="1" applyFont="1" applyAlignment="1" applyProtection="1">
      <alignment horizontal="center"/>
      <protection hidden="1"/>
    </xf>
    <xf numFmtId="0" fontId="2" fillId="6" borderId="24" xfId="2" applyFont="1" applyFill="1" applyBorder="1" applyAlignment="1">
      <alignment vertical="center"/>
    </xf>
    <xf numFmtId="0" fontId="2" fillId="6" borderId="24" xfId="2" applyFont="1" applyFill="1" applyBorder="1" applyAlignment="1">
      <alignment horizontal="center" vertical="center"/>
    </xf>
    <xf numFmtId="0" fontId="0" fillId="7" borderId="74" xfId="0" applyFill="1" applyBorder="1" applyAlignment="1">
      <alignment horizontal="center" vertical="center"/>
    </xf>
    <xf numFmtId="175" fontId="2" fillId="0" borderId="0" xfId="0" applyNumberFormat="1" applyFont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82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64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10" borderId="2" xfId="2" applyFont="1" applyFill="1" applyBorder="1" applyAlignment="1" applyProtection="1">
      <alignment horizontal="left"/>
      <protection hidden="1"/>
    </xf>
    <xf numFmtId="0" fontId="2" fillId="10" borderId="26" xfId="2" applyFont="1" applyFill="1" applyBorder="1" applyAlignment="1" applyProtection="1">
      <alignment horizontal="left"/>
      <protection hidden="1"/>
    </xf>
    <xf numFmtId="0" fontId="2" fillId="0" borderId="2" xfId="0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right" vertic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left" vertical="top"/>
    </xf>
    <xf numFmtId="0" fontId="17" fillId="5" borderId="31" xfId="2" applyFont="1" applyFill="1" applyBorder="1" applyAlignment="1">
      <alignment horizontal="center" vertical="center"/>
    </xf>
    <xf numFmtId="0" fontId="17" fillId="5" borderId="32" xfId="2" applyFont="1" applyFill="1" applyBorder="1" applyAlignment="1">
      <alignment horizontal="center" vertical="center"/>
    </xf>
    <xf numFmtId="0" fontId="17" fillId="5" borderId="21" xfId="2" applyFont="1" applyFill="1" applyBorder="1" applyAlignment="1">
      <alignment horizontal="center" vertical="center"/>
    </xf>
    <xf numFmtId="0" fontId="17" fillId="5" borderId="23" xfId="2" applyFont="1" applyFill="1" applyBorder="1" applyAlignment="1">
      <alignment horizontal="center" vertical="center"/>
    </xf>
    <xf numFmtId="0" fontId="2" fillId="4" borderId="2" xfId="2" applyFont="1" applyFill="1" applyBorder="1" applyAlignment="1" applyProtection="1">
      <alignment horizontal="center"/>
      <protection locked="0"/>
    </xf>
    <xf numFmtId="0" fontId="2" fillId="4" borderId="8" xfId="2" applyFont="1" applyFill="1" applyBorder="1" applyAlignment="1" applyProtection="1">
      <alignment horizontal="center"/>
      <protection locked="0"/>
    </xf>
    <xf numFmtId="177" fontId="31" fillId="5" borderId="34" xfId="2" applyNumberFormat="1" applyFont="1" applyFill="1" applyBorder="1" applyAlignment="1" applyProtection="1">
      <alignment horizontal="center"/>
      <protection hidden="1"/>
    </xf>
    <xf numFmtId="177" fontId="31" fillId="5" borderId="14" xfId="2" applyNumberFormat="1" applyFont="1" applyFill="1" applyBorder="1" applyAlignment="1" applyProtection="1">
      <alignment horizontal="center"/>
      <protection hidden="1"/>
    </xf>
    <xf numFmtId="176" fontId="31" fillId="5" borderId="34" xfId="2" applyNumberFormat="1" applyFont="1" applyFill="1" applyBorder="1" applyAlignment="1" applyProtection="1">
      <alignment horizontal="center"/>
      <protection hidden="1"/>
    </xf>
    <xf numFmtId="176" fontId="31" fillId="5" borderId="14" xfId="2" applyNumberFormat="1" applyFont="1" applyFill="1" applyBorder="1" applyAlignment="1" applyProtection="1">
      <alignment horizontal="center"/>
      <protection hidden="1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165" fontId="2" fillId="5" borderId="34" xfId="2" applyNumberFormat="1" applyFont="1" applyFill="1" applyBorder="1" applyAlignment="1">
      <alignment horizontal="center"/>
    </xf>
    <xf numFmtId="165" fontId="2" fillId="5" borderId="14" xfId="2" applyNumberFormat="1" applyFont="1" applyFill="1" applyBorder="1" applyAlignment="1">
      <alignment horizontal="center"/>
    </xf>
    <xf numFmtId="178" fontId="31" fillId="5" borderId="34" xfId="2" applyNumberFormat="1" applyFont="1" applyFill="1" applyBorder="1" applyAlignment="1">
      <alignment horizontal="center"/>
    </xf>
    <xf numFmtId="178" fontId="31" fillId="5" borderId="14" xfId="2" applyNumberFormat="1" applyFont="1" applyFill="1" applyBorder="1" applyAlignment="1">
      <alignment horizontal="center"/>
    </xf>
    <xf numFmtId="0" fontId="15" fillId="0" borderId="0" xfId="2" applyFont="1" applyAlignment="1" applyProtection="1">
      <alignment horizontal="center"/>
      <protection hidden="1"/>
    </xf>
    <xf numFmtId="0" fontId="28" fillId="6" borderId="34" xfId="2" applyFont="1" applyFill="1" applyBorder="1" applyAlignment="1" applyProtection="1">
      <alignment horizontal="center"/>
      <protection hidden="1"/>
    </xf>
    <xf numFmtId="0" fontId="28" fillId="6" borderId="14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31" fillId="6" borderId="2" xfId="2" applyFont="1" applyFill="1" applyBorder="1" applyAlignment="1">
      <alignment horizontal="center"/>
    </xf>
    <xf numFmtId="165" fontId="31" fillId="5" borderId="2" xfId="2" applyNumberFormat="1" applyFont="1" applyFill="1" applyBorder="1" applyAlignment="1">
      <alignment horizontal="center"/>
    </xf>
    <xf numFmtId="20" fontId="2" fillId="4" borderId="34" xfId="2" applyNumberFormat="1" applyFont="1" applyFill="1" applyBorder="1" applyAlignment="1" applyProtection="1">
      <alignment horizontal="center"/>
      <protection locked="0"/>
    </xf>
    <xf numFmtId="20" fontId="2" fillId="4" borderId="82" xfId="2" applyNumberFormat="1" applyFont="1" applyFill="1" applyBorder="1" applyAlignment="1" applyProtection="1">
      <alignment horizontal="center"/>
      <protection locked="0"/>
    </xf>
    <xf numFmtId="0" fontId="43" fillId="0" borderId="83" xfId="2" applyFont="1" applyBorder="1" applyAlignment="1">
      <alignment horizontal="center"/>
    </xf>
    <xf numFmtId="177" fontId="2" fillId="4" borderId="34" xfId="2" applyNumberFormat="1" applyFont="1" applyFill="1" applyBorder="1" applyAlignment="1" applyProtection="1">
      <alignment horizontal="center"/>
      <protection locked="0"/>
    </xf>
    <xf numFmtId="177" fontId="2" fillId="4" borderId="14" xfId="2" applyNumberFormat="1" applyFont="1" applyFill="1" applyBorder="1" applyAlignment="1" applyProtection="1">
      <alignment horizontal="center"/>
      <protection locked="0"/>
    </xf>
    <xf numFmtId="0" fontId="2" fillId="4" borderId="21" xfId="2" applyFont="1" applyFill="1" applyBorder="1" applyAlignment="1" applyProtection="1">
      <alignment horizontal="center"/>
      <protection locked="0"/>
    </xf>
    <xf numFmtId="0" fontId="2" fillId="4" borderId="84" xfId="2" applyFont="1" applyFill="1" applyBorder="1" applyAlignment="1" applyProtection="1">
      <alignment horizontal="center"/>
      <protection locked="0"/>
    </xf>
    <xf numFmtId="0" fontId="3" fillId="19" borderId="0" xfId="2" applyFont="1" applyFill="1" applyAlignment="1">
      <alignment horizontal="center"/>
    </xf>
    <xf numFmtId="0" fontId="2" fillId="0" borderId="0" xfId="2" applyFont="1" applyAlignment="1" applyProtection="1">
      <alignment horizontal="center"/>
      <protection hidden="1"/>
    </xf>
    <xf numFmtId="178" fontId="31" fillId="5" borderId="2" xfId="2" applyNumberFormat="1" applyFont="1" applyFill="1" applyBorder="1" applyAlignment="1">
      <alignment horizontal="center"/>
    </xf>
    <xf numFmtId="0" fontId="2" fillId="10" borderId="80" xfId="2" applyFont="1" applyFill="1" applyBorder="1" applyAlignment="1" applyProtection="1">
      <alignment horizontal="center"/>
      <protection hidden="1"/>
    </xf>
    <xf numFmtId="0" fontId="2" fillId="10" borderId="81" xfId="2" applyFont="1" applyFill="1" applyBorder="1" applyAlignment="1" applyProtection="1">
      <alignment horizontal="center"/>
      <protection hidden="1"/>
    </xf>
    <xf numFmtId="0" fontId="2" fillId="4" borderId="34" xfId="2" applyFont="1" applyFill="1" applyBorder="1" applyAlignment="1" applyProtection="1">
      <alignment horizontal="center"/>
      <protection locked="0"/>
    </xf>
    <xf numFmtId="0" fontId="2" fillId="4" borderId="82" xfId="2" applyFont="1" applyFill="1" applyBorder="1" applyAlignment="1" applyProtection="1">
      <alignment horizontal="center"/>
      <protection locked="0"/>
    </xf>
    <xf numFmtId="0" fontId="2" fillId="10" borderId="34" xfId="2" applyFont="1" applyFill="1" applyBorder="1" applyAlignment="1" applyProtection="1">
      <alignment horizontal="center"/>
      <protection hidden="1"/>
    </xf>
    <xf numFmtId="0" fontId="2" fillId="10" borderId="14" xfId="2" applyFont="1" applyFill="1" applyBorder="1" applyAlignment="1" applyProtection="1">
      <alignment horizontal="center"/>
      <protection hidden="1"/>
    </xf>
    <xf numFmtId="176" fontId="31" fillId="5" borderId="34" xfId="2" applyNumberFormat="1" applyFont="1" applyFill="1" applyBorder="1" applyAlignment="1">
      <alignment horizontal="center"/>
    </xf>
    <xf numFmtId="176" fontId="31" fillId="5" borderId="14" xfId="2" applyNumberFormat="1" applyFont="1" applyFill="1" applyBorder="1" applyAlignment="1">
      <alignment horizontal="center"/>
    </xf>
    <xf numFmtId="178" fontId="32" fillId="5" borderId="34" xfId="2" applyNumberFormat="1" applyFont="1" applyFill="1" applyBorder="1" applyAlignment="1">
      <alignment horizontal="center"/>
    </xf>
    <xf numFmtId="178" fontId="32" fillId="5" borderId="14" xfId="2" applyNumberFormat="1" applyFont="1" applyFill="1" applyBorder="1" applyAlignment="1">
      <alignment horizontal="center"/>
    </xf>
    <xf numFmtId="0" fontId="31" fillId="6" borderId="34" xfId="2" applyFont="1" applyFill="1" applyBorder="1" applyAlignment="1">
      <alignment horizontal="center"/>
    </xf>
    <xf numFmtId="0" fontId="31" fillId="6" borderId="14" xfId="2" applyFont="1" applyFill="1" applyBorder="1" applyAlignment="1">
      <alignment horizontal="center"/>
    </xf>
    <xf numFmtId="0" fontId="43" fillId="0" borderId="0" xfId="2" applyFont="1" applyAlignment="1">
      <alignment horizontal="center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75" xfId="2" applyFont="1" applyFill="1" applyBorder="1" applyAlignment="1" applyProtection="1">
      <alignment horizontal="center"/>
      <protection hidden="1"/>
    </xf>
    <xf numFmtId="0" fontId="2" fillId="10" borderId="76" xfId="2" applyFont="1" applyFill="1" applyBorder="1" applyAlignment="1" applyProtection="1">
      <alignment horizontal="center"/>
      <protection hidden="1"/>
    </xf>
    <xf numFmtId="0" fontId="43" fillId="4" borderId="25" xfId="2" applyFont="1" applyFill="1" applyBorder="1" applyAlignment="1" applyProtection="1">
      <alignment horizontal="center"/>
      <protection locked="0"/>
    </xf>
    <xf numFmtId="0" fontId="43" fillId="4" borderId="77" xfId="2" applyFont="1" applyFill="1" applyBorder="1" applyAlignment="1" applyProtection="1">
      <alignment horizontal="center"/>
      <protection locked="0"/>
    </xf>
    <xf numFmtId="165" fontId="31" fillId="5" borderId="34" xfId="2" applyNumberFormat="1" applyFont="1" applyFill="1" applyBorder="1" applyAlignment="1">
      <alignment horizontal="center"/>
    </xf>
    <xf numFmtId="165" fontId="31" fillId="5" borderId="14" xfId="2" applyNumberFormat="1" applyFont="1" applyFill="1" applyBorder="1" applyAlignment="1">
      <alignment horizontal="center"/>
    </xf>
    <xf numFmtId="0" fontId="2" fillId="10" borderId="78" xfId="2" applyFont="1" applyFill="1" applyBorder="1" applyAlignment="1" applyProtection="1">
      <alignment horizontal="center"/>
      <protection hidden="1"/>
    </xf>
    <xf numFmtId="0" fontId="2" fillId="10" borderId="79" xfId="2" applyFont="1" applyFill="1" applyBorder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0" fontId="33" fillId="4" borderId="25" xfId="2" applyFont="1" applyFill="1" applyBorder="1" applyAlignment="1" applyProtection="1">
      <alignment horizontal="center" vertical="center"/>
      <protection locked="0"/>
    </xf>
    <xf numFmtId="0" fontId="33" fillId="4" borderId="2" xfId="2" applyFont="1" applyFill="1" applyBorder="1" applyAlignment="1" applyProtection="1">
      <alignment horizontal="center" vertical="center"/>
      <protection locked="0"/>
    </xf>
    <xf numFmtId="0" fontId="3" fillId="20" borderId="0" xfId="0" applyFont="1" applyFill="1" applyAlignment="1">
      <alignment horizontal="center"/>
    </xf>
    <xf numFmtId="0" fontId="2" fillId="12" borderId="15" xfId="0" applyFont="1" applyFill="1" applyBorder="1" applyAlignment="1" applyProtection="1">
      <alignment horizontal="center"/>
      <protection hidden="1"/>
    </xf>
    <xf numFmtId="0" fontId="33" fillId="13" borderId="15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 applyProtection="1">
      <alignment horizontal="center"/>
      <protection hidden="1"/>
    </xf>
    <xf numFmtId="0" fontId="2" fillId="4" borderId="34" xfId="2" applyFont="1" applyFill="1" applyBorder="1" applyAlignment="1" applyProtection="1">
      <alignment horizontal="center" vertical="center"/>
      <protection locked="0"/>
    </xf>
    <xf numFmtId="0" fontId="2" fillId="4" borderId="14" xfId="2" applyFont="1" applyFill="1" applyBorder="1" applyAlignment="1" applyProtection="1">
      <alignment horizontal="center" vertical="center"/>
      <protection locked="0"/>
    </xf>
    <xf numFmtId="0" fontId="14" fillId="8" borderId="98" xfId="0" applyFont="1" applyFill="1" applyBorder="1" applyAlignment="1" applyProtection="1">
      <alignment horizontal="center" vertical="center"/>
      <protection hidden="1"/>
    </xf>
    <xf numFmtId="0" fontId="14" fillId="8" borderId="43" xfId="0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4" borderId="2" xfId="2" applyFont="1" applyFill="1" applyBorder="1" applyAlignment="1" applyProtection="1">
      <alignment horizontal="center" vertical="center"/>
      <protection locked="0"/>
    </xf>
    <xf numFmtId="0" fontId="2" fillId="12" borderId="66" xfId="0" applyFont="1" applyFill="1" applyBorder="1" applyAlignment="1" applyProtection="1">
      <alignment horizontal="center"/>
      <protection hidden="1"/>
    </xf>
    <xf numFmtId="0" fontId="2" fillId="12" borderId="93" xfId="0" applyFont="1" applyFill="1" applyBorder="1" applyAlignment="1" applyProtection="1">
      <alignment horizontal="center"/>
      <protection hidden="1"/>
    </xf>
    <xf numFmtId="0" fontId="11" fillId="8" borderId="94" xfId="0" applyFont="1" applyFill="1" applyBorder="1" applyAlignment="1" applyProtection="1">
      <alignment horizontal="center" vertical="center"/>
      <protection hidden="1"/>
    </xf>
    <xf numFmtId="0" fontId="11" fillId="8" borderId="68" xfId="0" applyFont="1" applyFill="1" applyBorder="1" applyAlignment="1" applyProtection="1">
      <alignment horizontal="center" vertical="center"/>
      <protection hidden="1"/>
    </xf>
    <xf numFmtId="0" fontId="12" fillId="8" borderId="95" xfId="0" applyFont="1" applyFill="1" applyBorder="1" applyAlignment="1" applyProtection="1">
      <alignment horizontal="center" vertical="center"/>
      <protection hidden="1"/>
    </xf>
    <xf numFmtId="0" fontId="12" fillId="8" borderId="16" xfId="0" applyFont="1" applyFill="1" applyBorder="1" applyAlignment="1" applyProtection="1">
      <alignment horizontal="center" vertical="center"/>
      <protection hidden="1"/>
    </xf>
    <xf numFmtId="0" fontId="11" fillId="8" borderId="96" xfId="0" applyFont="1" applyFill="1" applyBorder="1" applyAlignment="1" applyProtection="1">
      <alignment horizontal="center" vertical="center"/>
      <protection hidden="1"/>
    </xf>
    <xf numFmtId="0" fontId="11" fillId="8" borderId="15" xfId="0" applyFont="1" applyFill="1" applyBorder="1" applyAlignment="1" applyProtection="1">
      <alignment horizontal="center" vertical="center"/>
      <protection hidden="1"/>
    </xf>
    <xf numFmtId="0" fontId="39" fillId="8" borderId="97" xfId="0" applyFont="1" applyFill="1" applyBorder="1" applyAlignment="1" applyProtection="1">
      <alignment horizontal="center" vertical="center"/>
      <protection hidden="1"/>
    </xf>
    <xf numFmtId="0" fontId="39" fillId="8" borderId="89" xfId="0" applyFont="1" applyFill="1" applyBorder="1" applyAlignment="1" applyProtection="1">
      <alignment horizontal="center" vertical="center"/>
      <protection hidden="1"/>
    </xf>
    <xf numFmtId="0" fontId="2" fillId="13" borderId="90" xfId="0" applyFont="1" applyFill="1" applyBorder="1" applyAlignment="1" applyProtection="1">
      <alignment horizontal="center" vertical="center"/>
      <protection locked="0"/>
    </xf>
    <xf numFmtId="0" fontId="2" fillId="13" borderId="91" xfId="0" applyFont="1" applyFill="1" applyBorder="1" applyAlignment="1" applyProtection="1">
      <alignment horizontal="center" vertical="center"/>
      <protection locked="0"/>
    </xf>
    <xf numFmtId="164" fontId="2" fillId="13" borderId="46" xfId="0" applyNumberFormat="1" applyFont="1" applyFill="1" applyBorder="1" applyAlignment="1">
      <alignment horizontal="center" vertical="center"/>
    </xf>
    <xf numFmtId="168" fontId="2" fillId="13" borderId="15" xfId="0" applyNumberFormat="1" applyFont="1" applyFill="1" applyBorder="1" applyAlignment="1" applyProtection="1">
      <alignment horizontal="center" vertical="center"/>
      <protection locked="0"/>
    </xf>
    <xf numFmtId="167" fontId="2" fillId="13" borderId="15" xfId="0" applyNumberFormat="1" applyFont="1" applyFill="1" applyBorder="1" applyAlignment="1" applyProtection="1">
      <alignment horizontal="center" vertical="center"/>
      <protection locked="0"/>
    </xf>
    <xf numFmtId="0" fontId="2" fillId="13" borderId="92" xfId="0" applyFont="1" applyFill="1" applyBorder="1" applyAlignment="1">
      <alignment horizontal="center"/>
    </xf>
    <xf numFmtId="0" fontId="2" fillId="13" borderId="91" xfId="0" applyFont="1" applyFill="1" applyBorder="1" applyAlignment="1">
      <alignment horizontal="center"/>
    </xf>
    <xf numFmtId="166" fontId="2" fillId="17" borderId="46" xfId="0" applyNumberFormat="1" applyFont="1" applyFill="1" applyBorder="1" applyAlignment="1">
      <alignment horizontal="center" vertical="center"/>
    </xf>
    <xf numFmtId="0" fontId="39" fillId="8" borderId="85" xfId="0" applyFont="1" applyFill="1" applyBorder="1" applyAlignment="1" applyProtection="1">
      <alignment horizontal="center" vertical="center"/>
      <protection hidden="1"/>
    </xf>
    <xf numFmtId="0" fontId="39" fillId="8" borderId="86" xfId="0" applyFont="1" applyFill="1" applyBorder="1" applyAlignment="1" applyProtection="1">
      <alignment horizontal="center" vertical="center"/>
      <protection hidden="1"/>
    </xf>
    <xf numFmtId="0" fontId="2" fillId="8" borderId="87" xfId="0" applyFont="1" applyFill="1" applyBorder="1" applyAlignment="1" applyProtection="1">
      <alignment horizontal="center" vertical="center"/>
      <protection hidden="1"/>
    </xf>
    <xf numFmtId="0" fontId="39" fillId="8" borderId="88" xfId="0" applyFont="1" applyFill="1" applyBorder="1" applyAlignment="1" applyProtection="1">
      <alignment horizontal="center" vertical="center"/>
      <protection hidden="1"/>
    </xf>
    <xf numFmtId="0" fontId="14" fillId="8" borderId="15" xfId="0" applyFont="1" applyFill="1" applyBorder="1" applyAlignment="1" applyProtection="1">
      <alignment horizontal="center" vertical="center"/>
      <protection hidden="1"/>
    </xf>
    <xf numFmtId="0" fontId="12" fillId="8" borderId="17" xfId="0" applyFont="1" applyFill="1" applyBorder="1" applyAlignment="1" applyProtection="1">
      <alignment horizontal="center" vertical="center"/>
      <protection hidden="1"/>
    </xf>
    <xf numFmtId="0" fontId="0" fillId="0" borderId="3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28" borderId="31" xfId="0" applyFill="1" applyBorder="1" applyAlignment="1">
      <alignment horizontal="center"/>
    </xf>
    <xf numFmtId="0" fontId="0" fillId="28" borderId="32" xfId="0" applyFill="1" applyBorder="1" applyAlignment="1">
      <alignment horizontal="center"/>
    </xf>
    <xf numFmtId="0" fontId="0" fillId="4" borderId="19" xfId="0" applyFill="1" applyBorder="1" applyAlignment="1" applyProtection="1">
      <alignment horizontal="center"/>
      <protection locked="0"/>
    </xf>
    <xf numFmtId="0" fontId="0" fillId="4" borderId="20" xfId="0" applyFill="1" applyBorder="1" applyAlignment="1" applyProtection="1">
      <alignment horizontal="center"/>
      <protection locked="0"/>
    </xf>
    <xf numFmtId="0" fontId="0" fillId="30" borderId="19" xfId="0" applyFill="1" applyBorder="1" applyAlignment="1">
      <alignment horizontal="center"/>
    </xf>
    <xf numFmtId="0" fontId="0" fillId="30" borderId="20" xfId="0" applyFill="1" applyBorder="1" applyAlignment="1">
      <alignment horizontal="center"/>
    </xf>
    <xf numFmtId="0" fontId="0" fillId="30" borderId="21" xfId="0" applyFill="1" applyBorder="1" applyAlignment="1" applyProtection="1">
      <alignment horizontal="center"/>
      <protection locked="0"/>
    </xf>
    <xf numFmtId="0" fontId="0" fillId="30" borderId="23" xfId="0" applyFill="1" applyBorder="1" applyAlignment="1" applyProtection="1">
      <alignment horizontal="center"/>
      <protection locked="0"/>
    </xf>
    <xf numFmtId="0" fontId="0" fillId="30" borderId="19" xfId="0" applyFill="1" applyBorder="1" applyAlignment="1" applyProtection="1">
      <alignment horizontal="center"/>
      <protection locked="0"/>
    </xf>
    <xf numFmtId="0" fontId="0" fillId="30" borderId="20" xfId="0" applyFill="1" applyBorder="1" applyAlignment="1" applyProtection="1">
      <alignment horizontal="center"/>
      <protection locked="0"/>
    </xf>
    <xf numFmtId="0" fontId="0" fillId="4" borderId="0" xfId="0" applyFill="1" applyAlignment="1" applyProtection="1">
      <alignment horizontal="center"/>
      <protection locked="0"/>
    </xf>
    <xf numFmtId="0" fontId="0" fillId="0" borderId="33" xfId="0" applyBorder="1" applyAlignment="1" applyProtection="1">
      <alignment horizontal="center"/>
      <protection locked="0"/>
    </xf>
    <xf numFmtId="0" fontId="0" fillId="30" borderId="21" xfId="0" applyFill="1" applyBorder="1" applyAlignment="1">
      <alignment horizontal="center"/>
    </xf>
    <xf numFmtId="0" fontId="0" fillId="30" borderId="23" xfId="0" applyFill="1" applyBorder="1" applyAlignment="1">
      <alignment horizontal="center"/>
    </xf>
    <xf numFmtId="2" fontId="0" fillId="22" borderId="53" xfId="0" applyNumberFormat="1" applyFill="1" applyBorder="1" applyAlignment="1">
      <alignment horizontal="center"/>
    </xf>
    <xf numFmtId="2" fontId="0" fillId="22" borderId="65" xfId="0" applyNumberFormat="1" applyFill="1" applyBorder="1" applyAlignment="1">
      <alignment horizontal="center"/>
    </xf>
    <xf numFmtId="2" fontId="0" fillId="22" borderId="11" xfId="0" applyNumberFormat="1" applyFill="1" applyBorder="1" applyAlignment="1">
      <alignment horizontal="center"/>
    </xf>
    <xf numFmtId="2" fontId="0" fillId="22" borderId="54" xfId="0" applyNumberFormat="1" applyFill="1" applyBorder="1" applyAlignment="1">
      <alignment horizontal="center"/>
    </xf>
    <xf numFmtId="0" fontId="0" fillId="22" borderId="99" xfId="0" applyFill="1" applyBorder="1" applyAlignment="1">
      <alignment horizontal="center"/>
    </xf>
    <xf numFmtId="0" fontId="0" fillId="22" borderId="100" xfId="0" applyFill="1" applyBorder="1" applyAlignment="1">
      <alignment horizontal="center"/>
    </xf>
    <xf numFmtId="0" fontId="0" fillId="22" borderId="101" xfId="0" applyFill="1" applyBorder="1" applyAlignment="1">
      <alignment horizontal="center"/>
    </xf>
    <xf numFmtId="2" fontId="0" fillId="22" borderId="52" xfId="0" applyNumberFormat="1" applyFill="1" applyBorder="1" applyAlignment="1">
      <alignment horizontal="center"/>
    </xf>
    <xf numFmtId="194" fontId="2" fillId="13" borderId="46" xfId="0" applyNumberFormat="1" applyFont="1" applyFill="1" applyBorder="1" applyAlignment="1">
      <alignment horizontal="center" vertical="center"/>
    </xf>
    <xf numFmtId="195" fontId="2" fillId="17" borderId="15" xfId="0" applyNumberFormat="1" applyFont="1" applyFill="1" applyBorder="1" applyAlignment="1">
      <alignment horizontal="center" vertical="center"/>
    </xf>
    <xf numFmtId="0" fontId="2" fillId="13" borderId="15" xfId="0" applyFont="1" applyFill="1" applyBorder="1" applyAlignment="1">
      <alignment horizontal="center" vertical="center"/>
    </xf>
    <xf numFmtId="0" fontId="2" fillId="13" borderId="46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31" xfId="0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2" fillId="0" borderId="20" xfId="0" applyNumberFormat="1" applyFont="1" applyBorder="1" applyAlignment="1">
      <alignment horizontal="center" vertical="center"/>
    </xf>
    <xf numFmtId="165" fontId="2" fillId="0" borderId="12" xfId="0" applyNumberFormat="1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75" fontId="2" fillId="0" borderId="22" xfId="0" applyNumberFormat="1" applyFont="1" applyBorder="1" applyAlignment="1">
      <alignment horizontal="center" vertical="center"/>
    </xf>
    <xf numFmtId="175" fontId="2" fillId="0" borderId="23" xfId="0" applyNumberFormat="1" applyFont="1" applyBorder="1" applyAlignment="1">
      <alignment horizontal="center" vertical="center"/>
    </xf>
  </cellXfs>
  <cellStyles count="3">
    <cellStyle name="Lien hypertexte" xfId="1" builtinId="8"/>
    <cellStyle name="Normal" xfId="0" builtinId="0"/>
    <cellStyle name="Normal 2" xfId="2" xr:uid="{00000000-0005-0000-0000-00000200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fgColor indexed="42"/>
          <bgColor rgb="FFFFFFCC"/>
        </patternFill>
      </fill>
    </dxf>
    <dxf>
      <fill>
        <patternFill patternType="solid">
          <fgColor indexed="31"/>
          <bgColor indexed="22"/>
        </patternFill>
      </fill>
    </dxf>
    <dxf>
      <fill>
        <patternFill patternType="solid">
          <fgColor indexed="27"/>
          <bgColor rgb="FFFFCCFF"/>
        </patternFill>
      </fill>
    </dxf>
    <dxf>
      <font>
        <color rgb="FFFF0000"/>
      </font>
    </dxf>
    <dxf>
      <font>
        <color rgb="FF808080"/>
      </font>
    </dxf>
    <dxf>
      <fill>
        <patternFill>
          <bgColor indexed="10"/>
        </patternFill>
      </fill>
    </dxf>
    <dxf>
      <fill>
        <patternFill patternType="solid">
          <fgColor indexed="53"/>
          <bgColor rgb="FFFF0000"/>
        </patternFill>
      </fill>
    </dxf>
    <dxf>
      <fill>
        <patternFill patternType="solid">
          <fgColor indexed="60"/>
          <bgColor indexed="10"/>
        </patternFill>
      </fill>
    </dxf>
    <dxf>
      <fill>
        <patternFill>
          <bgColor rgb="FFFF0000"/>
        </patternFill>
      </fill>
    </dxf>
    <dxf>
      <font>
        <color rgb="FFCCFFFF"/>
      </font>
    </dxf>
    <dxf>
      <font>
        <color rgb="FFCC6600"/>
      </font>
    </dxf>
    <dxf>
      <font>
        <color rgb="FFCC6600"/>
      </font>
    </dxf>
    <dxf>
      <fill>
        <patternFill>
          <bgColor rgb="FFFF0000"/>
        </patternFill>
      </fill>
    </dxf>
    <dxf>
      <font>
        <color theme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  <dxf>
      <font>
        <color rgb="FF99CCFF"/>
      </font>
    </dxf>
    <dxf>
      <fill>
        <patternFill>
          <bgColor indexed="10"/>
        </patternFill>
      </fill>
    </dxf>
    <dxf>
      <font>
        <color theme="0"/>
      </font>
      <fill>
        <patternFill>
          <bgColor theme="0"/>
        </patternFill>
      </fill>
      <border>
        <right/>
        <top/>
        <bottom/>
      </border>
    </dxf>
    <dxf>
      <font>
        <color indexed="9"/>
      </font>
      <fill>
        <patternFill patternType="solid">
          <bgColor indexed="9"/>
        </patternFill>
      </fill>
      <border>
        <left/>
        <right/>
        <top/>
        <bottom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</border>
    </dxf>
    <dxf>
      <font>
        <color theme="0"/>
      </font>
      <fill>
        <patternFill patternType="solid">
          <bgColor theme="0"/>
        </patternFill>
      </fill>
      <border>
        <right/>
        <bottom/>
      </border>
    </dxf>
    <dxf>
      <fill>
        <patternFill patternType="solid">
          <fgColor indexed="60"/>
          <bgColor indexed="10"/>
        </patternFill>
      </fill>
    </dxf>
    <dxf>
      <font>
        <color rgb="FFFFFF99"/>
        <name val="Cambria"/>
        <scheme val="none"/>
      </font>
    </dxf>
    <dxf>
      <font>
        <color rgb="FFFFCC99"/>
      </font>
    </dxf>
    <dxf>
      <font>
        <color rgb="FF808080"/>
      </font>
    </dxf>
    <dxf>
      <font>
        <color theme="0"/>
      </font>
      <fill>
        <patternFill>
          <bgColor theme="0"/>
        </patternFill>
      </fill>
      <border>
        <left/>
        <right/>
        <bottom/>
      </border>
    </dxf>
    <dxf>
      <font>
        <color rgb="FFFF0000"/>
      </font>
    </dxf>
    <dxf>
      <font>
        <color indexed="9"/>
      </font>
      <fill>
        <patternFill>
          <bgColor indexed="9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theme="1"/>
      </font>
    </dxf>
    <dxf>
      <font>
        <color rgb="FFCC6600"/>
      </font>
    </dxf>
    <dxf>
      <font>
        <color rgb="FFCC6600"/>
      </font>
    </dxf>
    <dxf>
      <font>
        <color rgb="FFFF0000"/>
      </font>
    </dxf>
    <dxf>
      <font>
        <color rgb="FFCC6600"/>
      </font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</dxfs>
  <tableStyles count="1" defaultTableStyle="TableStyleMedium2" defaultPivotStyle="PivotStyleLight16">
    <tableStyle name="Invisible" pivot="0" table="0" count="0" xr9:uid="{F4726A1C-5962-4C6D-A156-DDCD1FCD6B5E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3CAFF"/>
      <rgbColor rgb="00993366"/>
      <rgbColor rgb="00E6E6E6"/>
      <rgbColor rgb="00CCFFFF"/>
      <rgbColor rgb="00660066"/>
      <rgbColor rgb="00FF8080"/>
      <rgbColor rgb="000066CC"/>
      <rgbColor rgb="00CCCCCC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185232743879301E-2"/>
          <c:y val="6.1378198400092628E-2"/>
          <c:w val="0.84871001627006748"/>
          <c:h val="0.90566037735849303"/>
        </c:manualLayout>
      </c:layout>
      <c:scatterChart>
        <c:scatterStyle val="lineMarker"/>
        <c:varyColors val="0"/>
        <c:ser>
          <c:idx val="0"/>
          <c:order val="0"/>
          <c:tx>
            <c:v>fuselage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Stabilito!$D$124:$D$131</c:f>
              <c:numCache>
                <c:formatCode>0</c:formatCode>
                <c:ptCount val="8"/>
                <c:pt idx="0">
                  <c:v>0</c:v>
                </c:pt>
                <c:pt idx="1">
                  <c:v>42</c:v>
                </c:pt>
                <c:pt idx="2">
                  <c:v>42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-51</c:v>
                </c:pt>
                <c:pt idx="4">
                  <c:v>-51</c:v>
                </c:pt>
                <c:pt idx="5">
                  <c:v>-51</c:v>
                </c:pt>
                <c:pt idx="6">
                  <c:v>-1035</c:v>
                </c:pt>
                <c:pt idx="7">
                  <c:v>-1035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5-4F59-84CA-EEBAEE08982C}"/>
            </c:ext>
          </c:extLst>
        </c:ser>
        <c:ser>
          <c:idx val="1"/>
          <c:order val="1"/>
          <c:tx>
            <c:v>aileron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Stabilito!$D$132:$D$136</c:f>
              <c:numCache>
                <c:formatCode>0</c:formatCode>
                <c:ptCount val="5"/>
                <c:pt idx="0">
                  <c:v>52</c:v>
                </c:pt>
                <c:pt idx="1">
                  <c:v>182</c:v>
                </c:pt>
                <c:pt idx="2">
                  <c:v>182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-825</c:v>
                </c:pt>
                <c:pt idx="1">
                  <c:v>-1005</c:v>
                </c:pt>
                <c:pt idx="2">
                  <c:v>-1065</c:v>
                </c:pt>
                <c:pt idx="3">
                  <c:v>-1015</c:v>
                </c:pt>
                <c:pt idx="4">
                  <c:v>-825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5-4F59-84CA-EEBAEE08982C}"/>
            </c:ext>
          </c:extLst>
        </c:ser>
        <c:ser>
          <c:idx val="2"/>
          <c:order val="2"/>
          <c:tx>
            <c:v>fuselage2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Stabilito!$E$124:$E$131</c:f>
              <c:numCache>
                <c:formatCode>0</c:formatCode>
                <c:ptCount val="8"/>
                <c:pt idx="0">
                  <c:v>0</c:v>
                </c:pt>
                <c:pt idx="1">
                  <c:v>-42</c:v>
                </c:pt>
                <c:pt idx="2">
                  <c:v>-42</c:v>
                </c:pt>
                <c:pt idx="3">
                  <c:v>-52</c:v>
                </c:pt>
                <c:pt idx="4">
                  <c:v>-52</c:v>
                </c:pt>
                <c:pt idx="5">
                  <c:v>-52</c:v>
                </c:pt>
                <c:pt idx="6">
                  <c:v>-52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-51</c:v>
                </c:pt>
                <c:pt idx="4">
                  <c:v>-51</c:v>
                </c:pt>
                <c:pt idx="5">
                  <c:v>-51</c:v>
                </c:pt>
                <c:pt idx="6">
                  <c:v>-1035</c:v>
                </c:pt>
                <c:pt idx="7">
                  <c:v>-1035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5-4F59-84CA-EEBAEE08982C}"/>
            </c:ext>
          </c:extLst>
        </c:ser>
        <c:ser>
          <c:idx val="3"/>
          <c:order val="3"/>
          <c:tx>
            <c:v>aileron2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Stabilito!$E$132:$E$136</c:f>
              <c:numCache>
                <c:formatCode>0</c:formatCode>
                <c:ptCount val="5"/>
                <c:pt idx="0">
                  <c:v>-52</c:v>
                </c:pt>
                <c:pt idx="1">
                  <c:v>-182</c:v>
                </c:pt>
                <c:pt idx="2">
                  <c:v>-182</c:v>
                </c:pt>
                <c:pt idx="3">
                  <c:v>-52</c:v>
                </c:pt>
                <c:pt idx="4">
                  <c:v>-52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-825</c:v>
                </c:pt>
                <c:pt idx="1">
                  <c:v>-1005</c:v>
                </c:pt>
                <c:pt idx="2">
                  <c:v>-1065</c:v>
                </c:pt>
                <c:pt idx="3">
                  <c:v>-1015</c:v>
                </c:pt>
                <c:pt idx="4">
                  <c:v>-825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5-4F59-84CA-EEBAEE08982C}"/>
            </c:ext>
          </c:extLst>
        </c:ser>
        <c:ser>
          <c:idx val="4"/>
          <c:order val="4"/>
          <c:tx>
            <c:strRef>
              <c:f>Stabilito!$B$12</c:f>
              <c:strCache>
                <c:ptCount val="1"/>
                <c:pt idx="0">
                  <c:v>Centre de Masse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FF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Stabilito!$D$149:$D$150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Stabilito!$C$149:$C$150</c:f>
              <c:numCache>
                <c:formatCode>0</c:formatCode>
                <c:ptCount val="2"/>
                <c:pt idx="0">
                  <c:v>-374.75523145212424</c:v>
                </c:pt>
                <c:pt idx="1">
                  <c:v>-310.14652656158779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5-4F59-84CA-EEBAEE08982C}"/>
            </c:ext>
          </c:extLst>
        </c:ser>
        <c:ser>
          <c:idx val="5"/>
          <c:order val="5"/>
          <c:tx>
            <c:strRef>
              <c:f>Stabilito!$F$28</c:f>
              <c:strCache>
                <c:ptCount val="1"/>
                <c:pt idx="0">
                  <c:v>Portance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8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Stabilito!$D$151:$D$154</c:f>
              <c:numCache>
                <c:formatCode>0</c:formatCode>
                <c:ptCount val="4"/>
                <c:pt idx="0">
                  <c:v>0</c:v>
                </c:pt>
                <c:pt idx="1">
                  <c:v>100.88770961452744</c:v>
                </c:pt>
                <c:pt idx="2">
                  <c:v>100.88770961452744</c:v>
                </c:pt>
                <c:pt idx="3">
                  <c:v>0</c:v>
                </c:pt>
              </c:numCache>
            </c:numRef>
          </c:xVal>
          <c:yVal>
            <c:numRef>
              <c:f>Stabilito!$C$151:$C$154</c:f>
              <c:numCache>
                <c:formatCode>0</c:formatCode>
                <c:ptCount val="4"/>
                <c:pt idx="0">
                  <c:v>-763.14428270800784</c:v>
                </c:pt>
                <c:pt idx="1">
                  <c:v>-763.14428270800784</c:v>
                </c:pt>
                <c:pt idx="2">
                  <c:v>-763.14428270800784</c:v>
                </c:pt>
                <c:pt idx="3">
                  <c:v>-763.14428270800784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5-4F59-84CA-EEBAEE08982C}"/>
            </c:ext>
          </c:extLst>
        </c:ser>
        <c:ser>
          <c:idx val="6"/>
          <c:order val="6"/>
          <c:tx>
            <c:v>canard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Stabilito!$D$158:$D$162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5-4F59-84CA-EEBAEE08982C}"/>
            </c:ext>
          </c:extLst>
        </c:ser>
        <c:ser>
          <c:idx val="7"/>
          <c:order val="7"/>
          <c:tx>
            <c:v>canard2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Stabilito!$E$158:$E$162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5-4F59-84CA-EEBAEE08982C}"/>
            </c:ext>
          </c:extLst>
        </c:ser>
        <c:ser>
          <c:idx val="8"/>
          <c:order val="8"/>
          <c:tx>
            <c:v>masquage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Stabilito!$D$163:$D$167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5-4F59-84CA-EEBAEE08982C}"/>
            </c:ext>
          </c:extLst>
        </c:ser>
        <c:ser>
          <c:idx val="9"/>
          <c:order val="9"/>
          <c:tx>
            <c:v>masquage2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Stabilito!$E$163:$E$167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535-4F59-84CA-EEBAEE08982C}"/>
            </c:ext>
          </c:extLst>
        </c:ser>
        <c:ser>
          <c:idx val="10"/>
          <c:order val="10"/>
          <c:tx>
            <c:v>cadre</c:v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xVal>
            <c:numRef>
              <c:f>Stabilito!$D$168:$D$169</c:f>
              <c:numCache>
                <c:formatCode>0</c:formatCode>
                <c:ptCount val="2"/>
                <c:pt idx="0">
                  <c:v>345</c:v>
                </c:pt>
                <c:pt idx="1">
                  <c:v>-345</c:v>
                </c:pt>
              </c:numCache>
            </c:numRef>
          </c:xVal>
          <c:yVal>
            <c:numRef>
              <c:f>Stabilito!$C$168:$C$169</c:f>
              <c:numCache>
                <c:formatCode>0</c:formatCode>
                <c:ptCount val="2"/>
                <c:pt idx="0">
                  <c:v>-1075.6500000000001</c:v>
                </c:pt>
                <c:pt idx="1">
                  <c:v>-1075.6500000000001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535-4F59-84CA-EEBAEE08982C}"/>
            </c:ext>
          </c:extLst>
        </c:ser>
        <c:ser>
          <c:idx val="11"/>
          <c:order val="11"/>
          <c:tx>
            <c:v>Propu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Stabilito!$D$170:$D$174</c:f>
              <c:numCache>
                <c:formatCode>0</c:formatCode>
                <c:ptCount val="5"/>
                <c:pt idx="0">
                  <c:v>-27</c:v>
                </c:pt>
                <c:pt idx="1">
                  <c:v>27</c:v>
                </c:pt>
                <c:pt idx="2">
                  <c:v>27</c:v>
                </c:pt>
                <c:pt idx="3">
                  <c:v>-27</c:v>
                </c:pt>
                <c:pt idx="4">
                  <c:v>-27</c:v>
                </c:pt>
              </c:numCache>
            </c:numRef>
          </c:xVal>
          <c:yVal>
            <c:numRef>
              <c:f>Stabilito!$C$170:$C$174</c:f>
              <c:numCache>
                <c:formatCode>0</c:formatCode>
                <c:ptCount val="5"/>
                <c:pt idx="0">
                  <c:v>-547</c:v>
                </c:pt>
                <c:pt idx="1">
                  <c:v>-547</c:v>
                </c:pt>
                <c:pt idx="2">
                  <c:v>-1035</c:v>
                </c:pt>
                <c:pt idx="3">
                  <c:v>-1035</c:v>
                </c:pt>
                <c:pt idx="4">
                  <c:v>-547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535-4F59-84CA-EEBAEE08982C}"/>
            </c:ext>
          </c:extLst>
        </c:ser>
        <c:ser>
          <c:idx val="12"/>
          <c:order val="12"/>
          <c:tx>
            <c:v>Cone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Stabilito!$D$175:$D$180</c:f>
              <c:numCache>
                <c:formatCode>0</c:formatCode>
                <c:ptCount val="6"/>
                <c:pt idx="0">
                  <c:v>0</c:v>
                </c:pt>
                <c:pt idx="1">
                  <c:v>4.2</c:v>
                </c:pt>
                <c:pt idx="2">
                  <c:v>10.5</c:v>
                </c:pt>
                <c:pt idx="3">
                  <c:v>21</c:v>
                </c:pt>
                <c:pt idx="4">
                  <c:v>31.5</c:v>
                </c:pt>
                <c:pt idx="5">
                  <c:v>42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-0.1</c:v>
                </c:pt>
                <c:pt idx="2">
                  <c:v>-0.25</c:v>
                </c:pt>
                <c:pt idx="3">
                  <c:v>-0.5</c:v>
                </c:pt>
                <c:pt idx="4">
                  <c:v>-0.75</c:v>
                </c:pt>
                <c:pt idx="5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535-4F59-84CA-EEBAEE08982C}"/>
            </c:ext>
          </c:extLst>
        </c:ser>
        <c:ser>
          <c:idx val="13"/>
          <c:order val="13"/>
          <c:tx>
            <c:v>Cone1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Stabilito!$E$175:$E$180</c:f>
              <c:numCache>
                <c:formatCode>0</c:formatCode>
                <c:ptCount val="6"/>
                <c:pt idx="0">
                  <c:v>0</c:v>
                </c:pt>
                <c:pt idx="1">
                  <c:v>-4.2</c:v>
                </c:pt>
                <c:pt idx="2">
                  <c:v>-10.5</c:v>
                </c:pt>
                <c:pt idx="3">
                  <c:v>-21</c:v>
                </c:pt>
                <c:pt idx="4">
                  <c:v>-31.5</c:v>
                </c:pt>
                <c:pt idx="5">
                  <c:v>-42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-0.1</c:v>
                </c:pt>
                <c:pt idx="2">
                  <c:v>-0.25</c:v>
                </c:pt>
                <c:pt idx="3">
                  <c:v>-0.5</c:v>
                </c:pt>
                <c:pt idx="4">
                  <c:v>-0.75</c:v>
                </c:pt>
                <c:pt idx="5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535-4F59-84CA-EEBAEE08982C}"/>
            </c:ext>
          </c:extLst>
        </c:ser>
        <c:ser>
          <c:idx val="14"/>
          <c:order val="14"/>
          <c:tx>
            <c:strRef>
              <c:f>Stabilito!$B$137</c:f>
              <c:strCache>
                <c:ptCount val="1"/>
                <c:pt idx="0">
                  <c:v>Envergure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Stabilito!$D$137:$D$139</c:f>
              <c:numCache>
                <c:formatCode>0</c:formatCode>
                <c:ptCount val="3"/>
                <c:pt idx="0">
                  <c:v>-182</c:v>
                </c:pt>
                <c:pt idx="1">
                  <c:v>-117</c:v>
                </c:pt>
                <c:pt idx="2">
                  <c:v>-52</c:v>
                </c:pt>
              </c:numCache>
            </c:numRef>
          </c:xVal>
          <c:yVal>
            <c:numRef>
              <c:f>Stabilito!$C$137:$C$139</c:f>
              <c:numCache>
                <c:formatCode>0</c:formatCode>
                <c:ptCount val="3"/>
                <c:pt idx="0">
                  <c:v>-1099.5</c:v>
                </c:pt>
                <c:pt idx="1">
                  <c:v>-1099.5</c:v>
                </c:pt>
                <c:pt idx="2">
                  <c:v>-1099.5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535-4F59-84CA-EEBAEE08982C}"/>
            </c:ext>
          </c:extLst>
        </c:ser>
        <c:ser>
          <c:idx val="15"/>
          <c:order val="15"/>
          <c:tx>
            <c:strRef>
              <c:f>Stabilito!$B$143</c:f>
              <c:strCache>
                <c:ptCount val="1"/>
                <c:pt idx="0">
                  <c:v>Flèche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Stabilito!$D$143:$D$145</c:f>
              <c:numCache>
                <c:formatCode>0</c:formatCode>
                <c:ptCount val="3"/>
                <c:pt idx="0">
                  <c:v>-216.5</c:v>
                </c:pt>
                <c:pt idx="1">
                  <c:v>-216.5</c:v>
                </c:pt>
                <c:pt idx="2">
                  <c:v>-216.5</c:v>
                </c:pt>
              </c:numCache>
            </c:numRef>
          </c:xVal>
          <c:yVal>
            <c:numRef>
              <c:f>Stabilito!$C$143:$C$145</c:f>
              <c:numCache>
                <c:formatCode>0</c:formatCode>
                <c:ptCount val="3"/>
                <c:pt idx="0">
                  <c:v>-825</c:v>
                </c:pt>
                <c:pt idx="1">
                  <c:v>-915</c:v>
                </c:pt>
                <c:pt idx="2">
                  <c:v>-1005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535-4F59-84CA-EEBAEE08982C}"/>
            </c:ext>
          </c:extLst>
        </c:ser>
        <c:ser>
          <c:idx val="16"/>
          <c:order val="16"/>
          <c:tx>
            <c:strRef>
              <c:f>Stabilito!$B$146</c:f>
              <c:strCache>
                <c:ptCount val="1"/>
                <c:pt idx="0">
                  <c:v>Saumon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Stabilito!$D$146:$D$148</c:f>
              <c:numCache>
                <c:formatCode>0</c:formatCode>
                <c:ptCount val="3"/>
                <c:pt idx="0">
                  <c:v>-233.75</c:v>
                </c:pt>
                <c:pt idx="1">
                  <c:v>-233.75</c:v>
                </c:pt>
                <c:pt idx="2">
                  <c:v>-233.75</c:v>
                </c:pt>
              </c:numCache>
            </c:numRef>
          </c:xVal>
          <c:yVal>
            <c:numRef>
              <c:f>Stabilito!$C$146:$C$148</c:f>
              <c:numCache>
                <c:formatCode>0</c:formatCode>
                <c:ptCount val="3"/>
                <c:pt idx="0">
                  <c:v>-1005</c:v>
                </c:pt>
                <c:pt idx="1">
                  <c:v>-1035</c:v>
                </c:pt>
                <c:pt idx="2">
                  <c:v>-1065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535-4F59-84CA-EEBAEE08982C}"/>
            </c:ext>
          </c:extLst>
        </c:ser>
        <c:ser>
          <c:idx val="17"/>
          <c:order val="17"/>
          <c:tx>
            <c:strRef>
              <c:f>Stabilito!$B$140</c:f>
              <c:strCache>
                <c:ptCount val="1"/>
                <c:pt idx="0">
                  <c:v>Emplanture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Stabilito!$D$140:$D$142</c:f>
              <c:numCache>
                <c:formatCode>0</c:formatCode>
                <c:ptCount val="3"/>
                <c:pt idx="0">
                  <c:v>233.75</c:v>
                </c:pt>
                <c:pt idx="1">
                  <c:v>233.75</c:v>
                </c:pt>
                <c:pt idx="2">
                  <c:v>233.75</c:v>
                </c:pt>
              </c:numCache>
            </c:numRef>
          </c:xVal>
          <c:yVal>
            <c:numRef>
              <c:f>Stabilito!$C$140:$C$142</c:f>
              <c:numCache>
                <c:formatCode>0</c:formatCode>
                <c:ptCount val="3"/>
                <c:pt idx="0">
                  <c:v>-825</c:v>
                </c:pt>
                <c:pt idx="1">
                  <c:v>-920</c:v>
                </c:pt>
                <c:pt idx="2">
                  <c:v>-1015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535-4F59-84CA-EEBAEE08982C}"/>
            </c:ext>
          </c:extLst>
        </c:ser>
        <c:ser>
          <c:idx val="18"/>
          <c:order val="18"/>
          <c:tx>
            <c:strRef>
              <c:f>Stabilito!$B$155</c:f>
              <c:strCache>
                <c:ptCount val="1"/>
                <c:pt idx="0">
                  <c:v>Marge Statique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535-4F59-84CA-EEBAEE08982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Stabilito!$D$155:$D$157</c:f>
              <c:numCache>
                <c:formatCode>0</c:formatCode>
                <c:ptCount val="3"/>
                <c:pt idx="0">
                  <c:v>-233.75</c:v>
                </c:pt>
                <c:pt idx="1">
                  <c:v>-233.75</c:v>
                </c:pt>
                <c:pt idx="2">
                  <c:v>-233.75</c:v>
                </c:pt>
              </c:numCache>
            </c:numRef>
          </c:xVal>
          <c:yVal>
            <c:numRef>
              <c:f>Stabilito!$C$155:$C$157</c:f>
              <c:numCache>
                <c:formatCode>0</c:formatCode>
                <c:ptCount val="3"/>
                <c:pt idx="0">
                  <c:v>-342.45087900685598</c:v>
                </c:pt>
                <c:pt idx="1">
                  <c:v>-552.79758085743197</c:v>
                </c:pt>
                <c:pt idx="2">
                  <c:v>-763.14428270800784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535-4F59-84CA-EEBAEE08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07200"/>
        <c:axId val="148708736"/>
      </c:scatterChart>
      <c:valAx>
        <c:axId val="148707200"/>
        <c:scaling>
          <c:orientation val="minMax"/>
        </c:scaling>
        <c:delete val="0"/>
        <c:axPos val="t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8708736"/>
        <c:crosses val="max"/>
        <c:crossBetween val="midCat"/>
      </c:valAx>
      <c:valAx>
        <c:axId val="14870873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8707200"/>
        <c:crosses val="max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95" footer="0.4921259845000009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Stabilito!$B$117</c:f>
          <c:strCache>
            <c:ptCount val="1"/>
            <c:pt idx="0">
              <c:v>Diagramme des critères de stabilité</c:v>
            </c:pt>
          </c:strCache>
        </c:strRef>
      </c:tx>
      <c:layout>
        <c:manualLayout>
          <c:xMode val="edge"/>
          <c:yMode val="edge"/>
          <c:x val="0.19620910443519407"/>
          <c:y val="8.0214173228346466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5092838196286504E-2"/>
          <c:y val="5.8823683008029475E-2"/>
          <c:w val="0.93899204244031864"/>
          <c:h val="0.82887916965859743"/>
        </c:manualLayout>
      </c:layout>
      <c:scatterChart>
        <c:scatterStyle val="smoothMarker"/>
        <c:varyColors val="0"/>
        <c:ser>
          <c:idx val="0"/>
          <c:order val="0"/>
          <c:tx>
            <c:v>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Stabilito!$B$182:$B$183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Stabilito!$C$182:$C$183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2B-4801-8589-0A76F8F3832F}"/>
            </c:ext>
          </c:extLst>
        </c:ser>
        <c:ser>
          <c:idx val="1"/>
          <c:order val="1"/>
          <c:tx>
            <c:v>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Stabilito!$B$184:$B$185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Stabilito!$C$184:$C$185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2B-4801-8589-0A76F8F3832F}"/>
            </c:ext>
          </c:extLst>
        </c:ser>
        <c:ser>
          <c:idx val="2"/>
          <c:order val="2"/>
          <c:tx>
            <c:v>MS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Stabilito!$B$186:$B$187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Stabilito!$C$186:$C$187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2B-4801-8589-0A76F8F3832F}"/>
            </c:ext>
          </c:extLst>
        </c:ser>
        <c:ser>
          <c:idx val="3"/>
          <c:order val="3"/>
          <c:tx>
            <c:v>MS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Stabilito!$B$188:$B$189</c:f>
              <c:numCache>
                <c:formatCode>General</c:formatCode>
                <c:ptCount val="2"/>
                <c:pt idx="0">
                  <c:v>6</c:v>
                </c:pt>
                <c:pt idx="1">
                  <c:v>6</c:v>
                </c:pt>
              </c:numCache>
            </c:numRef>
          </c:xVal>
          <c:yVal>
            <c:numRef>
              <c:f>Stabilito!$C$188:$C$189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2B-4801-8589-0A76F8F3832F}"/>
            </c:ext>
          </c:extLst>
        </c:ser>
        <c:ser>
          <c:idx val="5"/>
          <c:order val="6"/>
          <c:tx>
            <c:v>MS*Cna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Stabilito!$D$182:$D$187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</c:numCache>
            </c:numRef>
          </c:xVal>
          <c:yVal>
            <c:numRef>
              <c:f>Stabilito!$E$182:$E$187</c:f>
              <c:numCache>
                <c:formatCode>General</c:formatCode>
                <c:ptCount val="6"/>
                <c:pt idx="0">
                  <c:v>80</c:v>
                </c:pt>
                <c:pt idx="1">
                  <c:v>40</c:v>
                </c:pt>
                <c:pt idx="2">
                  <c:v>20</c:v>
                </c:pt>
                <c:pt idx="3">
                  <c:v>13.333333333333334</c:v>
                </c:pt>
                <c:pt idx="4">
                  <c:v>8</c:v>
                </c:pt>
                <c:pt idx="5">
                  <c:v>5.7142857142857144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2B-4801-8589-0A76F8F3832F}"/>
            </c:ext>
          </c:extLst>
        </c:ser>
        <c:ser>
          <c:idx val="6"/>
          <c:order val="7"/>
          <c:tx>
            <c:v>MS*Cna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Stabilito!$D$188:$D$193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Stabilito!$E$188:$E$193</c:f>
              <c:numCache>
                <c:formatCode>General</c:formatCode>
                <c:ptCount val="6"/>
                <c:pt idx="0">
                  <c:v>100</c:v>
                </c:pt>
                <c:pt idx="1">
                  <c:v>50</c:v>
                </c:pt>
                <c:pt idx="2">
                  <c:v>33.333333333333336</c:v>
                </c:pt>
                <c:pt idx="3">
                  <c:v>25</c:v>
                </c:pt>
                <c:pt idx="4">
                  <c:v>16.666666666666668</c:v>
                </c:pt>
                <c:pt idx="5">
                  <c:v>14.285714285714286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2B-4801-8589-0A76F8F3832F}"/>
            </c:ext>
          </c:extLst>
        </c:ser>
        <c:ser>
          <c:idx val="7"/>
          <c:order val="8"/>
          <c:tx>
            <c:v>Cna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Stabilito!$B$195:$B$196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Stabilito!$C$195:$C$196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82B-4801-8589-0A76F8F3832F}"/>
            </c:ext>
          </c:extLst>
        </c:ser>
        <c:ser>
          <c:idx val="8"/>
          <c:order val="9"/>
          <c:tx>
            <c:v>Cna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Stabilito!$B$197:$B$198</c:f>
              <c:numCache>
                <c:formatCode>General</c:formatCode>
                <c:ptCount val="2"/>
                <c:pt idx="0">
                  <c:v>3.6363636363636362</c:v>
                </c:pt>
                <c:pt idx="1">
                  <c:v>7</c:v>
                </c:pt>
              </c:numCache>
            </c:numRef>
          </c:xVal>
          <c:yVal>
            <c:numRef>
              <c:f>Stabilito!$C$197:$C$198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82B-4801-8589-0A76F8F3832F}"/>
            </c:ext>
          </c:extLst>
        </c:ser>
        <c:ser>
          <c:idx val="9"/>
          <c:order val="10"/>
          <c:tx>
            <c:v>MS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Stabilito!$B$199:$B$200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Stabilito!$C$199:$C$200</c:f>
              <c:numCache>
                <c:formatCode>General</c:formatCode>
                <c:ptCount val="2"/>
                <c:pt idx="0">
                  <c:v>0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82B-4801-8589-0A76F8F3832F}"/>
            </c:ext>
          </c:extLst>
        </c:ser>
        <c:ser>
          <c:idx val="10"/>
          <c:order val="11"/>
          <c:tx>
            <c:v>MS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Stabilito!$B$201:$B$202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Stabilito!$C$201:$C$202</c:f>
              <c:numCache>
                <c:formatCode>General</c:formatCode>
                <c:ptCount val="2"/>
                <c:pt idx="0">
                  <c:v>25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82B-4801-8589-0A76F8F3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71168"/>
        <c:axId val="148481536"/>
      </c:scatterChart>
      <c:scatterChart>
        <c:scatterStyle val="lineMarker"/>
        <c:varyColors val="0"/>
        <c:ser>
          <c:idx val="4"/>
          <c:order val="4"/>
          <c:tx>
            <c:v>Fusée en cours</c:v>
          </c:tx>
          <c:spPr>
            <a:ln w="25400">
              <a:solidFill>
                <a:schemeClr val="tx1"/>
              </a:solidFill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Stabilito!$B$190:$B$193</c:f>
              <c:numCache>
                <c:formatCode>0.00</c:formatCode>
                <c:ptCount val="4"/>
                <c:pt idx="0">
                  <c:v>3.7345101082296499</c:v>
                </c:pt>
                <c:pt idx="1">
                  <c:v>3.7345101082296499</c:v>
                </c:pt>
                <c:pt idx="2">
                  <c:v>4.3557476552540386</c:v>
                </c:pt>
                <c:pt idx="3">
                  <c:v>4.3557476552540386</c:v>
                </c:pt>
              </c:numCache>
            </c:numRef>
          </c:xVal>
          <c:yVal>
            <c:numRef>
              <c:f>Stabilito!$C$190:$C$193</c:f>
              <c:numCache>
                <c:formatCode>0.00</c:formatCode>
                <c:ptCount val="4"/>
                <c:pt idx="0">
                  <c:v>14.551111963633765</c:v>
                </c:pt>
                <c:pt idx="1">
                  <c:v>14.551111963633765</c:v>
                </c:pt>
                <c:pt idx="2">
                  <c:v>14.551111963633765</c:v>
                </c:pt>
                <c:pt idx="3">
                  <c:v>14.551111963633765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2B-4801-8589-0A76F8F3832F}"/>
            </c:ext>
          </c:extLst>
        </c:ser>
        <c:ser>
          <c:idx val="11"/>
          <c:order val="5"/>
          <c:tx>
            <c:v>Fusée en cours0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Stabilito!$B$193:$B$194</c:f>
              <c:numCache>
                <c:formatCode>0.00</c:formatCode>
                <c:ptCount val="2"/>
                <c:pt idx="0">
                  <c:v>4.3557476552540386</c:v>
                </c:pt>
                <c:pt idx="1">
                  <c:v>3.7345101082296499</c:v>
                </c:pt>
              </c:numCache>
            </c:numRef>
          </c:xVal>
          <c:yVal>
            <c:numRef>
              <c:f>Stabilito!$C$193:$C$194</c:f>
              <c:numCache>
                <c:formatCode>0.00</c:formatCode>
                <c:ptCount val="2"/>
                <c:pt idx="0">
                  <c:v>14.551111963633765</c:v>
                </c:pt>
                <c:pt idx="1">
                  <c:v>14.551111963633765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82B-4801-8589-0A76F8F3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71168"/>
        <c:axId val="148481536"/>
      </c:scatterChart>
      <c:valAx>
        <c:axId val="148471168"/>
        <c:scaling>
          <c:orientation val="minMax"/>
          <c:max val="7"/>
          <c:min val="0"/>
        </c:scaling>
        <c:delete val="0"/>
        <c:axPos val="b"/>
        <c:title>
          <c:tx>
            <c:strRef>
              <c:f>Stabilito!$B$118</c:f>
              <c:strCache>
                <c:ptCount val="1"/>
                <c:pt idx="0">
                  <c:v>Marge Statique (MS)</c:v>
                </c:pt>
              </c:strCache>
            </c:strRef>
          </c:tx>
          <c:layout>
            <c:manualLayout>
              <c:xMode val="edge"/>
              <c:yMode val="edge"/>
              <c:x val="0.51717271009913568"/>
              <c:y val="0.73094047244094495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8481536"/>
        <c:crosses val="autoZero"/>
        <c:crossBetween val="midCat"/>
      </c:valAx>
      <c:valAx>
        <c:axId val="148481536"/>
        <c:scaling>
          <c:orientation val="minMax"/>
          <c:max val="55"/>
          <c:min val="0"/>
        </c:scaling>
        <c:delete val="0"/>
        <c:axPos val="l"/>
        <c:title>
          <c:tx>
            <c:strRef>
              <c:f>Stabilito!$B$119</c:f>
              <c:strCache>
                <c:ptCount val="1"/>
                <c:pt idx="0">
                  <c:v>Portance Cnα</c:v>
                </c:pt>
              </c:strCache>
            </c:strRef>
          </c:tx>
          <c:layout>
            <c:manualLayout>
              <c:xMode val="edge"/>
              <c:yMode val="edge"/>
              <c:x val="6.9119481083972797E-2"/>
              <c:y val="0.24099905511811029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8471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95" footer="0.4921259845000009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Trajecto!$B$110</c:f>
          <c:strCache>
            <c:ptCount val="1"/>
            <c:pt idx="0">
              <c:v>Trajectoire (x z)</c:v>
            </c:pt>
          </c:strCache>
        </c:strRef>
      </c:tx>
      <c:layout>
        <c:manualLayout>
          <c:xMode val="edge"/>
          <c:yMode val="edge"/>
          <c:x val="0.66868786671936287"/>
          <c:y val="3.857574406972713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9697175950449913E-2"/>
          <c:y val="3.5608360198500402E-2"/>
          <c:w val="0.89697235136230857"/>
          <c:h val="0.89614373166225958"/>
        </c:manualLayout>
      </c:layout>
      <c:scatterChart>
        <c:scatterStyle val="lineMarker"/>
        <c:varyColors val="0"/>
        <c:ser>
          <c:idx val="0"/>
          <c:order val="0"/>
          <c:tx>
            <c:v>Point invisible pour mise à l'echelle</c:v>
          </c:tx>
          <c:spPr>
            <a:ln w="3175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Trajecto!$B$120</c:f>
              <c:numCache>
                <c:formatCode>0</c:formatCode>
                <c:ptCount val="1"/>
                <c:pt idx="0">
                  <c:v>1738.4460976679284</c:v>
                </c:pt>
              </c:numCache>
            </c:numRef>
          </c:xVal>
          <c:yVal>
            <c:numRef>
              <c:f>Trajecto!$C$118</c:f>
              <c:numCache>
                <c:formatCode>0</c:formatCode>
                <c:ptCount val="1"/>
                <c:pt idx="0">
                  <c:v>1738.4460976679284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02-4CA2-BA56-E0E46E48A268}"/>
            </c:ext>
          </c:extLst>
        </c:ser>
        <c:ser>
          <c:idx val="1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Calculs!$AD$4:$AD$1004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4.3229975658926927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17.745291057892857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38.580195707975705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62.532597135306538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84.846645552050802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105.58146903101419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125.04126837415234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143.45867756895666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161.0166054183448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177.86239416479489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194.11734550015726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209.88333119895697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225.24749381497725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240.28563488773162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255.0646215872712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269.64389686321636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284.07574345976872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298.4027120124386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312.64849847179971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326.80671609544459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340.84667470342407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354.72774141870826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368.4070266123303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381.84249504398178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394.9944759306473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407.82655315432311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420.30613889460989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432.40483908026897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444.09865797647706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455.36806879400615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466.1979704450215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476.57754855995302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486.50005833070117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495.96254636962158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504.96552808750425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513.51263596844126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521.61025259063615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529.26714041774051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536.49407839632113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1676.0501140492172</c:v>
                </c:pt>
                <c:pt idx="579">
                  <c:v>1672.5498772558487</c:v>
                </c:pt>
                <c:pt idx="580">
                  <c:v>1668.9565461588081</c:v>
                </c:pt>
                <c:pt idx="581">
                  <c:v>1665.2703732140496</c:v>
                </c:pt>
                <c:pt idx="582">
                  <c:v>1661.491616921179</c:v>
                </c:pt>
                <c:pt idx="583">
                  <c:v>1657.6205417708159</c:v>
                </c:pt>
                <c:pt idx="584">
                  <c:v>1653.6574181902931</c:v>
                </c:pt>
                <c:pt idx="585">
                  <c:v>1649.6025224877774</c:v>
                </c:pt>
                <c:pt idx="586">
                  <c:v>1645.4561367948838</c:v>
                </c:pt>
                <c:pt idx="587">
                  <c:v>1641.2185490078584</c:v>
                </c:pt>
                <c:pt idx="588">
                  <c:v>1636.8900527273881</c:v>
                </c:pt>
                <c:pt idx="589">
                  <c:v>1632.4709471971014</c:v>
                </c:pt>
                <c:pt idx="590">
                  <c:v>1627.9615372408105</c:v>
                </c:pt>
                <c:pt idx="591">
                  <c:v>1623.362133198551</c:v>
                </c:pt>
                <c:pt idx="592">
                  <c:v>1618.6730508614653</c:v>
                </c:pt>
                <c:pt idx="593">
                  <c:v>1613.8946114055764</c:v>
                </c:pt>
                <c:pt idx="594">
                  <c:v>1609.027141324498</c:v>
                </c:pt>
                <c:pt idx="595">
                  <c:v>1604.0709723611224</c:v>
                </c:pt>
                <c:pt idx="596">
                  <c:v>1599.0264414383273</c:v>
                </c:pt>
                <c:pt idx="597">
                  <c:v>1593.8938905887414</c:v>
                </c:pt>
                <c:pt idx="598">
                  <c:v>1588.6736668836077</c:v>
                </c:pt>
                <c:pt idx="599">
                  <c:v>1583.3661223607819</c:v>
                </c:pt>
                <c:pt idx="600">
                  <c:v>1577.9716139519039</c:v>
                </c:pt>
                <c:pt idx="601">
                  <c:v>1572.490503408776</c:v>
                </c:pt>
                <c:pt idx="602">
                  <c:v>1566.9231572289857</c:v>
                </c:pt>
                <c:pt idx="603">
                  <c:v>1561.2699465808071</c:v>
                </c:pt>
                <c:pt idx="604">
                  <c:v>1555.5312472274147</c:v>
                </c:pt>
                <c:pt idx="605">
                  <c:v>1549.7074394504455</c:v>
                </c:pt>
                <c:pt idx="606">
                  <c:v>1543.7989079729393</c:v>
                </c:pt>
                <c:pt idx="607">
                  <c:v>1537.8060418816954</c:v>
                </c:pt>
                <c:pt idx="608">
                  <c:v>1531.729234549073</c:v>
                </c:pt>
                <c:pt idx="609">
                  <c:v>1525.568883554273</c:v>
                </c:pt>
                <c:pt idx="610">
                  <c:v>1519.3253906041291</c:v>
                </c:pt>
                <c:pt idx="611">
                  <c:v>1512.9991614534433</c:v>
                </c:pt>
                <c:pt idx="612">
                  <c:v>1506.590605824895</c:v>
                </c:pt>
                <c:pt idx="613">
                  <c:v>1500.1001373285574</c:v>
                </c:pt>
                <c:pt idx="614">
                  <c:v>1493.5281733810496</c:v>
                </c:pt>
                <c:pt idx="615">
                  <c:v>1486.8751351243586</c:v>
                </c:pt>
                <c:pt idx="616">
                  <c:v>1480.1414473443585</c:v>
                </c:pt>
                <c:pt idx="617">
                  <c:v>1473.3275383890591</c:v>
                </c:pt>
                <c:pt idx="618">
                  <c:v>1466.4338400866138</c:v>
                </c:pt>
                <c:pt idx="619">
                  <c:v>1459.4607876631162</c:v>
                </c:pt>
                <c:pt idx="620">
                  <c:v>1452.4088196602154</c:v>
                </c:pt>
                <c:pt idx="621">
                  <c:v>1445.2783778525786</c:v>
                </c:pt>
                <c:pt idx="622">
                  <c:v>1438.0699071652305</c:v>
                </c:pt>
                <c:pt idx="623">
                  <c:v>1430.7838555907986</c:v>
                </c:pt>
                <c:pt idx="624">
                  <c:v>1423.4206741066916</c:v>
                </c:pt>
                <c:pt idx="625">
                  <c:v>1415.98081659224</c:v>
                </c:pt>
                <c:pt idx="626">
                  <c:v>1408.4647397458264</c:v>
                </c:pt>
                <c:pt idx="627">
                  <c:v>1400.8729030020334</c:v>
                </c:pt>
                <c:pt idx="628">
                  <c:v>1393.205768448835</c:v>
                </c:pt>
                <c:pt idx="629">
                  <c:v>1385.46380074486</c:v>
                </c:pt>
                <c:pt idx="630">
                  <c:v>1377.6474670367525</c:v>
                </c:pt>
                <c:pt idx="631">
                  <c:v>1369.7572368766569</c:v>
                </c:pt>
                <c:pt idx="632">
                  <c:v>1361.7935821398512</c:v>
                </c:pt>
                <c:pt idx="633">
                  <c:v>1353.7569769425572</c:v>
                </c:pt>
                <c:pt idx="634">
                  <c:v>1345.6478975599487</c:v>
                </c:pt>
                <c:pt idx="635">
                  <c:v>1337.4668223443855</c:v>
                </c:pt>
                <c:pt idx="636">
                  <c:v>1329.2142316438969</c:v>
                </c:pt>
                <c:pt idx="637">
                  <c:v>1320.8906077209367</c:v>
                </c:pt>
                <c:pt idx="638">
                  <c:v>1312.4964346714348</c:v>
                </c:pt>
                <c:pt idx="639">
                  <c:v>1304.0321983441695</c:v>
                </c:pt>
                <c:pt idx="640">
                  <c:v>1295.4983862604802</c:v>
                </c:pt>
                <c:pt idx="641">
                  <c:v>1286.8954875343447</c:v>
                </c:pt>
                <c:pt idx="642">
                  <c:v>1278.2239927928438</c:v>
                </c:pt>
                <c:pt idx="643">
                  <c:v>1269.4843940970311</c:v>
                </c:pt>
                <c:pt idx="644">
                  <c:v>1260.6771848632334</c:v>
                </c:pt>
                <c:pt idx="645">
                  <c:v>1251.8028597847979</c:v>
                </c:pt>
                <c:pt idx="646">
                  <c:v>1242.8619147543097</c:v>
                </c:pt>
                <c:pt idx="647">
                  <c:v>1233.8548467862972</c:v>
                </c:pt>
                <c:pt idx="648">
                  <c:v>1224.7821539404447</c:v>
                </c:pt>
                <c:pt idx="649">
                  <c:v>1215.6443352453314</c:v>
                </c:pt>
                <c:pt idx="650">
                  <c:v>1206.4418906227152</c:v>
                </c:pt>
                <c:pt idx="651">
                  <c:v>1197.1753208123778</c:v>
                </c:pt>
                <c:pt idx="652">
                  <c:v>1187.8451272975499</c:v>
                </c:pt>
                <c:pt idx="653">
                  <c:v>1178.4518122309316</c:v>
                </c:pt>
                <c:pt idx="654">
                  <c:v>1168.9958783613265</c:v>
                </c:pt>
                <c:pt idx="655">
                  <c:v>1159.4778289609026</c:v>
                </c:pt>
                <c:pt idx="656">
                  <c:v>1149.8981677530976</c:v>
                </c:pt>
                <c:pt idx="657">
                  <c:v>1140.2573988411832</c:v>
                </c:pt>
                <c:pt idx="658">
                  <c:v>1130.5560266375005</c:v>
                </c:pt>
                <c:pt idx="659">
                  <c:v>1120.7945557933838</c:v>
                </c:pt>
                <c:pt idx="660">
                  <c:v>1110.973491129784</c:v>
                </c:pt>
                <c:pt idx="661">
                  <c:v>1101.093337568605</c:v>
                </c:pt>
                <c:pt idx="662">
                  <c:v>1091.1546000647654</c:v>
                </c:pt>
                <c:pt idx="663">
                  <c:v>1081.1577835389985</c:v>
                </c:pt>
                <c:pt idx="664">
                  <c:v>1071.1033928114002</c:v>
                </c:pt>
                <c:pt idx="665">
                  <c:v>1060.9919325357382</c:v>
                </c:pt>
                <c:pt idx="666">
                  <c:v>1050.8239071345313</c:v>
                </c:pt>
                <c:pt idx="667">
                  <c:v>1040.5998207349087</c:v>
                </c:pt>
                <c:pt idx="668">
                  <c:v>1030.3201771052607</c:v>
                </c:pt>
                <c:pt idx="669">
                  <c:v>1019.985479592688</c:v>
                </c:pt>
                <c:pt idx="670">
                  <c:v>1009.5962310612599</c:v>
                </c:pt>
                <c:pt idx="671">
                  <c:v>999.15293383108769</c:v>
                </c:pt>
                <c:pt idx="672">
                  <c:v>988.65608961822284</c:v>
                </c:pt>
                <c:pt idx="673">
                  <c:v>978.10619947538635</c:v>
                </c:pt>
                <c:pt idx="674">
                  <c:v>967.50376373353618</c:v>
                </c:pt>
                <c:pt idx="675">
                  <c:v>956.84928194427926</c:v>
                </c:pt>
                <c:pt idx="676">
                  <c:v>946.14325282313382</c:v>
                </c:pt>
                <c:pt idx="677">
                  <c:v>935.38617419364789</c:v>
                </c:pt>
                <c:pt idx="678">
                  <c:v>924.57854293237881</c:v>
                </c:pt>
                <c:pt idx="679">
                  <c:v>913.7208549147382</c:v>
                </c:pt>
                <c:pt idx="680">
                  <c:v>902.81360496170691</c:v>
                </c:pt>
                <c:pt idx="681">
                  <c:v>891.85728678742407</c:v>
                </c:pt>
                <c:pt idx="682">
                  <c:v>880.85239294765222</c:v>
                </c:pt>
                <c:pt idx="683">
                  <c:v>869.79941478912338</c:v>
                </c:pt>
                <c:pt idx="684">
                  <c:v>858.69884239976716</c:v>
                </c:pt>
                <c:pt idx="685">
                  <c:v>847.55116455982375</c:v>
                </c:pt>
                <c:pt idx="686">
                  <c:v>836.35686869384358</c:v>
                </c:pt>
                <c:pt idx="687">
                  <c:v>825.11644082357418</c:v>
                </c:pt>
                <c:pt idx="688">
                  <c:v>813.83036552173689</c:v>
                </c:pt>
                <c:pt idx="689">
                  <c:v>802.49912586669234</c:v>
                </c:pt>
                <c:pt idx="690">
                  <c:v>791.12320339799601</c:v>
                </c:pt>
                <c:pt idx="691">
                  <c:v>779.70307807284337</c:v>
                </c:pt>
                <c:pt idx="692">
                  <c:v>768.23922822340421</c:v>
                </c:pt>
                <c:pt idx="693">
                  <c:v>756.73213051504592</c:v>
                </c:pt>
                <c:pt idx="694">
                  <c:v>745.18225990544306</c:v>
                </c:pt>
                <c:pt idx="695">
                  <c:v>733.59008960457379</c:v>
                </c:pt>
                <c:pt idx="696">
                  <c:v>721.9560910355998</c:v>
                </c:pt>
                <c:pt idx="697">
                  <c:v>710.28073379662828</c:v>
                </c:pt>
                <c:pt idx="698">
                  <c:v>698.56448562335356</c:v>
                </c:pt>
                <c:pt idx="699">
                  <c:v>686.8078123525753</c:v>
                </c:pt>
                <c:pt idx="700">
                  <c:v>675.01117788659064</c:v>
                </c:pt>
                <c:pt idx="701">
                  <c:v>663.17504415845667</c:v>
                </c:pt>
                <c:pt idx="702">
                  <c:v>651.29987109812009</c:v>
                </c:pt>
                <c:pt idx="703">
                  <c:v>639.38611659940921</c:v>
                </c:pt>
                <c:pt idx="704">
                  <c:v>627.43423648788576</c:v>
                </c:pt>
                <c:pt idx="705">
                  <c:v>615.44468448955035</c:v>
                </c:pt>
                <c:pt idx="706">
                  <c:v>603.41791220039818</c:v>
                </c:pt>
                <c:pt idx="707">
                  <c:v>591.35436905681945</c:v>
                </c:pt>
                <c:pt idx="708">
                  <c:v>579.25450230683987</c:v>
                </c:pt>
                <c:pt idx="709">
                  <c:v>567.11875698219558</c:v>
                </c:pt>
                <c:pt idx="710">
                  <c:v>554.9475758712365</c:v>
                </c:pt>
                <c:pt idx="711">
                  <c:v>542.74139949265316</c:v>
                </c:pt>
                <c:pt idx="712">
                  <c:v>530.50066607002066</c:v>
                </c:pt>
                <c:pt idx="713">
                  <c:v>518.22581150715303</c:v>
                </c:pt>
                <c:pt idx="714">
                  <c:v>505.91726936426255</c:v>
                </c:pt>
                <c:pt idx="715">
                  <c:v>493.57547083491659</c:v>
                </c:pt>
                <c:pt idx="716">
                  <c:v>481.20084472378551</c:v>
                </c:pt>
                <c:pt idx="717">
                  <c:v>468.79381742517501</c:v>
                </c:pt>
                <c:pt idx="718">
                  <c:v>456.35481290233514</c:v>
                </c:pt>
                <c:pt idx="719">
                  <c:v>443.88425266753939</c:v>
                </c:pt>
                <c:pt idx="720">
                  <c:v>431.38255576292585</c:v>
                </c:pt>
                <c:pt idx="721">
                  <c:v>418.85013874209352</c:v>
                </c:pt>
                <c:pt idx="722">
                  <c:v>406.28741565244519</c:v>
                </c:pt>
                <c:pt idx="723">
                  <c:v>393.69479801827015</c:v>
                </c:pt>
                <c:pt idx="724">
                  <c:v>381.07269482455757</c:v>
                </c:pt>
                <c:pt idx="725">
                  <c:v>368.4215125015337</c:v>
                </c:pt>
                <c:pt idx="726">
                  <c:v>355.74165490991356</c:v>
                </c:pt>
                <c:pt idx="727">
                  <c:v>343.03352332685989</c:v>
                </c:pt>
                <c:pt idx="728">
                  <c:v>330.29751643263995</c:v>
                </c:pt>
                <c:pt idx="729">
                  <c:v>317.53403029797232</c:v>
                </c:pt>
                <c:pt idx="730">
                  <c:v>304.7434583720551</c:v>
                </c:pt>
                <c:pt idx="731">
                  <c:v>291.92619147126675</c:v>
                </c:pt>
                <c:pt idx="732">
                  <c:v>279.0826177685305</c:v>
                </c:pt>
                <c:pt idx="733">
                  <c:v>266.2131227833342</c:v>
                </c:pt>
                <c:pt idx="734">
                  <c:v>253.31808937239617</c:v>
                </c:pt>
                <c:pt idx="735">
                  <c:v>240.39789772096847</c:v>
                </c:pt>
                <c:pt idx="736">
                  <c:v>227.45292533476845</c:v>
                </c:pt>
                <c:pt idx="737">
                  <c:v>214.4835470325296</c:v>
                </c:pt>
                <c:pt idx="738">
                  <c:v>201.49013493916263</c:v>
                </c:pt>
                <c:pt idx="739">
                  <c:v>188.47305847951776</c:v>
                </c:pt>
                <c:pt idx="740">
                  <c:v>175.43268437273889</c:v>
                </c:pt>
                <c:pt idx="741">
                  <c:v>162.36937662720084</c:v>
                </c:pt>
                <c:pt idx="742">
                  <c:v>149.28349653601992</c:v>
                </c:pt>
                <c:pt idx="743">
                  <c:v>136.17540267312941</c:v>
                </c:pt>
                <c:pt idx="744">
                  <c:v>123.0454508899099</c:v>
                </c:pt>
                <c:pt idx="745">
                  <c:v>109.89399431236589</c:v>
                </c:pt>
                <c:pt idx="746">
                  <c:v>96.721383338839203</c:v>
                </c:pt>
                <c:pt idx="747">
                  <c:v>83.527965638249938</c:v>
                </c:pt>
                <c:pt idx="748">
                  <c:v>70.314086148855893</c:v>
                </c:pt>
                <c:pt idx="749">
                  <c:v>57.080087077521057</c:v>
                </c:pt>
                <c:pt idx="750">
                  <c:v>43.826307899484235</c:v>
                </c:pt>
                <c:pt idx="751">
                  <c:v>30.553085358618382</c:v>
                </c:pt>
                <c:pt idx="752">
                  <c:v>17.260753468171636</c:v>
                </c:pt>
                <c:pt idx="753">
                  <c:v>3.949643511980895</c:v>
                </c:pt>
                <c:pt idx="754">
                  <c:v>-9.3799159538512082</c:v>
                </c:pt>
                <c:pt idx="755">
                  <c:v>-9.3932546652544051</c:v>
                </c:pt>
                <c:pt idx="756">
                  <c:v>-9.406593394618886</c:v>
                </c:pt>
                <c:pt idx="757">
                  <c:v>-9.4199321419443311</c:v>
                </c:pt>
                <c:pt idx="758">
                  <c:v>-9.4332709072304173</c:v>
                </c:pt>
                <c:pt idx="759">
                  <c:v>-9.4466096904768246</c:v>
                </c:pt>
                <c:pt idx="760">
                  <c:v>-9.4599484916832317</c:v>
                </c:pt>
                <c:pt idx="761">
                  <c:v>-9.4732873108493187</c:v>
                </c:pt>
                <c:pt idx="762">
                  <c:v>-9.4866261479747624</c:v>
                </c:pt>
                <c:pt idx="763">
                  <c:v>-9.4999650030592431</c:v>
                </c:pt>
                <c:pt idx="764">
                  <c:v>-9.5133038761024391</c:v>
                </c:pt>
                <c:pt idx="765">
                  <c:v>-9.526642767104029</c:v>
                </c:pt>
                <c:pt idx="766">
                  <c:v>-9.5399816760636913</c:v>
                </c:pt>
                <c:pt idx="767">
                  <c:v>-9.5533206029811044</c:v>
                </c:pt>
                <c:pt idx="768">
                  <c:v>-9.5666595478559486</c:v>
                </c:pt>
                <c:pt idx="769">
                  <c:v>-9.5799985106879024</c:v>
                </c:pt>
                <c:pt idx="770">
                  <c:v>-9.5933374914766443</c:v>
                </c:pt>
                <c:pt idx="771">
                  <c:v>-9.6066764902218544</c:v>
                </c:pt>
                <c:pt idx="772">
                  <c:v>-9.6200155069232096</c:v>
                </c:pt>
                <c:pt idx="773">
                  <c:v>-9.6333545415803901</c:v>
                </c:pt>
                <c:pt idx="774">
                  <c:v>-9.6466935941930743</c:v>
                </c:pt>
                <c:pt idx="775">
                  <c:v>-9.6600326647609407</c:v>
                </c:pt>
                <c:pt idx="776">
                  <c:v>-9.6733717532836696</c:v>
                </c:pt>
                <c:pt idx="777">
                  <c:v>-9.6867108597609377</c:v>
                </c:pt>
                <c:pt idx="778">
                  <c:v>-9.7000499841924253</c:v>
                </c:pt>
                <c:pt idx="779">
                  <c:v>-9.7133891265778125</c:v>
                </c:pt>
                <c:pt idx="780">
                  <c:v>-9.7267282869167762</c:v>
                </c:pt>
                <c:pt idx="781">
                  <c:v>-9.7400674652089965</c:v>
                </c:pt>
                <c:pt idx="782">
                  <c:v>-9.7534066614541519</c:v>
                </c:pt>
                <c:pt idx="783">
                  <c:v>-9.766745875651921</c:v>
                </c:pt>
                <c:pt idx="784">
                  <c:v>-9.7800851078019821</c:v>
                </c:pt>
                <c:pt idx="785">
                  <c:v>-9.7934243579040157</c:v>
                </c:pt>
                <c:pt idx="786">
                  <c:v>-9.8067636259577</c:v>
                </c:pt>
                <c:pt idx="787">
                  <c:v>-9.8201029119627137</c:v>
                </c:pt>
                <c:pt idx="788">
                  <c:v>-9.8334422159187351</c:v>
                </c:pt>
                <c:pt idx="789">
                  <c:v>-9.8467815378254446</c:v>
                </c:pt>
                <c:pt idx="790">
                  <c:v>-9.8601208776825189</c:v>
                </c:pt>
                <c:pt idx="791">
                  <c:v>-9.8734602354896381</c:v>
                </c:pt>
                <c:pt idx="792">
                  <c:v>-9.8867996112464827</c:v>
                </c:pt>
                <c:pt idx="793">
                  <c:v>-9.9001390049527291</c:v>
                </c:pt>
                <c:pt idx="794">
                  <c:v>-9.9134784166080578</c:v>
                </c:pt>
                <c:pt idx="795">
                  <c:v>-9.9268178462121472</c:v>
                </c:pt>
                <c:pt idx="796">
                  <c:v>-9.9401572937646776</c:v>
                </c:pt>
                <c:pt idx="797">
                  <c:v>-9.9534967592653256</c:v>
                </c:pt>
                <c:pt idx="798">
                  <c:v>-9.9668362427137716</c:v>
                </c:pt>
                <c:pt idx="799">
                  <c:v>-9.9801757441096939</c:v>
                </c:pt>
                <c:pt idx="800">
                  <c:v>-9.9935152634527729</c:v>
                </c:pt>
                <c:pt idx="801">
                  <c:v>-10.006854800742685</c:v>
                </c:pt>
                <c:pt idx="802">
                  <c:v>-10.020194355979111</c:v>
                </c:pt>
                <c:pt idx="803">
                  <c:v>-10.033533929161731</c:v>
                </c:pt>
                <c:pt idx="804">
                  <c:v>-10.046873520290221</c:v>
                </c:pt>
                <c:pt idx="805">
                  <c:v>-10.060213129364262</c:v>
                </c:pt>
                <c:pt idx="806">
                  <c:v>-10.073552756383533</c:v>
                </c:pt>
                <c:pt idx="807">
                  <c:v>-10.086892401347711</c:v>
                </c:pt>
                <c:pt idx="808">
                  <c:v>-10.100232064256478</c:v>
                </c:pt>
                <c:pt idx="809">
                  <c:v>-10.11357174510951</c:v>
                </c:pt>
                <c:pt idx="810">
                  <c:v>-10.126911443906488</c:v>
                </c:pt>
                <c:pt idx="811">
                  <c:v>-10.14025116064709</c:v>
                </c:pt>
                <c:pt idx="812">
                  <c:v>-10.153590895330995</c:v>
                </c:pt>
                <c:pt idx="813">
                  <c:v>-10.166930647957882</c:v>
                </c:pt>
                <c:pt idx="814">
                  <c:v>-10.18027041852743</c:v>
                </c:pt>
                <c:pt idx="815">
                  <c:v>-10.193610207039319</c:v>
                </c:pt>
                <c:pt idx="816">
                  <c:v>-10.206950013493227</c:v>
                </c:pt>
                <c:pt idx="817">
                  <c:v>-10.220289837888833</c:v>
                </c:pt>
                <c:pt idx="818">
                  <c:v>-10.233629680225816</c:v>
                </c:pt>
                <c:pt idx="819">
                  <c:v>-10.246969540503855</c:v>
                </c:pt>
                <c:pt idx="820">
                  <c:v>-10.260309418722629</c:v>
                </c:pt>
                <c:pt idx="821">
                  <c:v>-10.273649314881817</c:v>
                </c:pt>
                <c:pt idx="822">
                  <c:v>-10.286989228981099</c:v>
                </c:pt>
                <c:pt idx="823">
                  <c:v>-10.300329161020153</c:v>
                </c:pt>
                <c:pt idx="824">
                  <c:v>-10.313669110998658</c:v>
                </c:pt>
                <c:pt idx="825">
                  <c:v>-10.327009078916292</c:v>
                </c:pt>
                <c:pt idx="826">
                  <c:v>-10.340349064772736</c:v>
                </c:pt>
                <c:pt idx="827">
                  <c:v>-10.353689068567668</c:v>
                </c:pt>
                <c:pt idx="828">
                  <c:v>-10.367029090300768</c:v>
                </c:pt>
                <c:pt idx="829">
                  <c:v>-10.380369129971715</c:v>
                </c:pt>
                <c:pt idx="830">
                  <c:v>-10.393709187580187</c:v>
                </c:pt>
                <c:pt idx="831">
                  <c:v>-10.407049263125863</c:v>
                </c:pt>
                <c:pt idx="832">
                  <c:v>-10.420389356608423</c:v>
                </c:pt>
                <c:pt idx="833">
                  <c:v>-10.433729468027545</c:v>
                </c:pt>
                <c:pt idx="834">
                  <c:v>-10.447069597382908</c:v>
                </c:pt>
                <c:pt idx="835">
                  <c:v>-10.460409744674191</c:v>
                </c:pt>
                <c:pt idx="836">
                  <c:v>-10.473749909901073</c:v>
                </c:pt>
                <c:pt idx="837">
                  <c:v>-10.487090093063236</c:v>
                </c:pt>
                <c:pt idx="838">
                  <c:v>-10.500430294160354</c:v>
                </c:pt>
                <c:pt idx="839">
                  <c:v>-10.51377051319211</c:v>
                </c:pt>
                <c:pt idx="840">
                  <c:v>-10.527110750158181</c:v>
                </c:pt>
                <c:pt idx="841">
                  <c:v>-10.540451005058248</c:v>
                </c:pt>
                <c:pt idx="842">
                  <c:v>-10.553791277891989</c:v>
                </c:pt>
                <c:pt idx="843">
                  <c:v>-10.567131568659082</c:v>
                </c:pt>
                <c:pt idx="844">
                  <c:v>-10.580471877359209</c:v>
                </c:pt>
                <c:pt idx="845">
                  <c:v>-10.593812203992044</c:v>
                </c:pt>
                <c:pt idx="846">
                  <c:v>-10.607152548557272</c:v>
                </c:pt>
                <c:pt idx="847">
                  <c:v>-10.620492911054567</c:v>
                </c:pt>
                <c:pt idx="848">
                  <c:v>-10.633833291483612</c:v>
                </c:pt>
                <c:pt idx="849">
                  <c:v>-10.647173689844083</c:v>
                </c:pt>
                <c:pt idx="850">
                  <c:v>-10.660514106135661</c:v>
                </c:pt>
                <c:pt idx="851">
                  <c:v>-10.673854540358025</c:v>
                </c:pt>
                <c:pt idx="852">
                  <c:v>-10.687194992510854</c:v>
                </c:pt>
                <c:pt idx="853">
                  <c:v>-10.700535462593827</c:v>
                </c:pt>
                <c:pt idx="854">
                  <c:v>-10.713875950606621</c:v>
                </c:pt>
                <c:pt idx="855">
                  <c:v>-10.727216456548918</c:v>
                </c:pt>
                <c:pt idx="856">
                  <c:v>-10.740556980420395</c:v>
                </c:pt>
                <c:pt idx="857">
                  <c:v>-10.753897522220733</c:v>
                </c:pt>
                <c:pt idx="858">
                  <c:v>-10.767238081949611</c:v>
                </c:pt>
                <c:pt idx="859">
                  <c:v>-10.780578659606705</c:v>
                </c:pt>
                <c:pt idx="860">
                  <c:v>-10.793919255191698</c:v>
                </c:pt>
                <c:pt idx="861">
                  <c:v>-10.807259868704268</c:v>
                </c:pt>
                <c:pt idx="862">
                  <c:v>-10.820600500144094</c:v>
                </c:pt>
                <c:pt idx="863">
                  <c:v>-10.833941149510855</c:v>
                </c:pt>
                <c:pt idx="864">
                  <c:v>-10.847281816804228</c:v>
                </c:pt>
                <c:pt idx="865">
                  <c:v>-10.860622502023896</c:v>
                </c:pt>
                <c:pt idx="866">
                  <c:v>-10.873963205169535</c:v>
                </c:pt>
                <c:pt idx="867">
                  <c:v>-10.887303926240826</c:v>
                </c:pt>
                <c:pt idx="868">
                  <c:v>-10.900644665237447</c:v>
                </c:pt>
                <c:pt idx="869">
                  <c:v>-10.913985422159078</c:v>
                </c:pt>
                <c:pt idx="870">
                  <c:v>-10.927326197005398</c:v>
                </c:pt>
                <c:pt idx="871">
                  <c:v>-10.940666989776085</c:v>
                </c:pt>
                <c:pt idx="872">
                  <c:v>-10.954007800470819</c:v>
                </c:pt>
                <c:pt idx="873">
                  <c:v>-10.96734862908928</c:v>
                </c:pt>
                <c:pt idx="874">
                  <c:v>-10.980689475631145</c:v>
                </c:pt>
                <c:pt idx="875">
                  <c:v>-10.994030340096096</c:v>
                </c:pt>
                <c:pt idx="876">
                  <c:v>-11.00737122248381</c:v>
                </c:pt>
                <c:pt idx="877">
                  <c:v>-11.020712122793967</c:v>
                </c:pt>
                <c:pt idx="878">
                  <c:v>-11.034053041026246</c:v>
                </c:pt>
                <c:pt idx="879">
                  <c:v>-11.047393977180326</c:v>
                </c:pt>
                <c:pt idx="880">
                  <c:v>-11.060734931255885</c:v>
                </c:pt>
                <c:pt idx="881">
                  <c:v>-11.074075903252604</c:v>
                </c:pt>
                <c:pt idx="882">
                  <c:v>-11.087416893170161</c:v>
                </c:pt>
                <c:pt idx="883">
                  <c:v>-11.100757901008237</c:v>
                </c:pt>
                <c:pt idx="884">
                  <c:v>-11.114098926766509</c:v>
                </c:pt>
                <c:pt idx="885">
                  <c:v>-11.127439970444657</c:v>
                </c:pt>
                <c:pt idx="886">
                  <c:v>-11.14078103204236</c:v>
                </c:pt>
                <c:pt idx="887">
                  <c:v>-11.154122111559298</c:v>
                </c:pt>
                <c:pt idx="888">
                  <c:v>-11.16746320899515</c:v>
                </c:pt>
                <c:pt idx="889">
                  <c:v>-11.180804324349594</c:v>
                </c:pt>
                <c:pt idx="890">
                  <c:v>-11.194145457622311</c:v>
                </c:pt>
                <c:pt idx="891">
                  <c:v>-11.207486608812978</c:v>
                </c:pt>
                <c:pt idx="892">
                  <c:v>-11.220827777921276</c:v>
                </c:pt>
                <c:pt idx="893">
                  <c:v>-11.234168964946884</c:v>
                </c:pt>
                <c:pt idx="894">
                  <c:v>-11.24751016988948</c:v>
                </c:pt>
                <c:pt idx="895">
                  <c:v>-11.260851392748744</c:v>
                </c:pt>
                <c:pt idx="896">
                  <c:v>-11.274192633524356</c:v>
                </c:pt>
                <c:pt idx="897">
                  <c:v>-11.287533892215993</c:v>
                </c:pt>
                <c:pt idx="898">
                  <c:v>-11.300875168823337</c:v>
                </c:pt>
                <c:pt idx="899">
                  <c:v>-11.314216463346066</c:v>
                </c:pt>
                <c:pt idx="900">
                  <c:v>-11.327557775783859</c:v>
                </c:pt>
                <c:pt idx="901">
                  <c:v>-11.340899106136394</c:v>
                </c:pt>
                <c:pt idx="902">
                  <c:v>-11.354240454403353</c:v>
                </c:pt>
                <c:pt idx="903">
                  <c:v>-11.367581820584414</c:v>
                </c:pt>
                <c:pt idx="904">
                  <c:v>-11.380923204679256</c:v>
                </c:pt>
                <c:pt idx="905">
                  <c:v>-11.394264606687557</c:v>
                </c:pt>
                <c:pt idx="906">
                  <c:v>-11.407606026608997</c:v>
                </c:pt>
                <c:pt idx="907">
                  <c:v>-11.420947464443257</c:v>
                </c:pt>
                <c:pt idx="908">
                  <c:v>-11.434288920190015</c:v>
                </c:pt>
                <c:pt idx="909">
                  <c:v>-11.44763039384895</c:v>
                </c:pt>
                <c:pt idx="910">
                  <c:v>-11.460971885419742</c:v>
                </c:pt>
                <c:pt idx="911">
                  <c:v>-11.474313394902069</c:v>
                </c:pt>
                <c:pt idx="912">
                  <c:v>-11.48765492229561</c:v>
                </c:pt>
                <c:pt idx="913">
                  <c:v>-11.500996467600045</c:v>
                </c:pt>
                <c:pt idx="914">
                  <c:v>-11.514338030815054</c:v>
                </c:pt>
                <c:pt idx="915">
                  <c:v>-11.527679611940316</c:v>
                </c:pt>
                <c:pt idx="916">
                  <c:v>-11.54102121097551</c:v>
                </c:pt>
                <c:pt idx="917">
                  <c:v>-11.554362827920315</c:v>
                </c:pt>
                <c:pt idx="918">
                  <c:v>-11.56770446277441</c:v>
                </c:pt>
                <c:pt idx="919">
                  <c:v>-11.581046115537475</c:v>
                </c:pt>
                <c:pt idx="920">
                  <c:v>-11.59438778620919</c:v>
                </c:pt>
                <c:pt idx="921">
                  <c:v>-11.607729474789233</c:v>
                </c:pt>
                <c:pt idx="922">
                  <c:v>-11.621071181277284</c:v>
                </c:pt>
                <c:pt idx="923">
                  <c:v>-11.63441290567302</c:v>
                </c:pt>
                <c:pt idx="924">
                  <c:v>-11.647754647976123</c:v>
                </c:pt>
                <c:pt idx="925">
                  <c:v>-11.661096408186271</c:v>
                </c:pt>
                <c:pt idx="926">
                  <c:v>-11.674438186303144</c:v>
                </c:pt>
                <c:pt idx="927">
                  <c:v>-11.68777998232642</c:v>
                </c:pt>
                <c:pt idx="928">
                  <c:v>-11.70112179625578</c:v>
                </c:pt>
                <c:pt idx="929">
                  <c:v>-11.714463628090902</c:v>
                </c:pt>
                <c:pt idx="930">
                  <c:v>-11.727805477831467</c:v>
                </c:pt>
                <c:pt idx="931">
                  <c:v>-11.741147345477152</c:v>
                </c:pt>
                <c:pt idx="932">
                  <c:v>-11.754489231027639</c:v>
                </c:pt>
                <c:pt idx="933">
                  <c:v>-11.767831134482606</c:v>
                </c:pt>
                <c:pt idx="934">
                  <c:v>-11.78117305584173</c:v>
                </c:pt>
                <c:pt idx="935">
                  <c:v>-11.794514995104693</c:v>
                </c:pt>
                <c:pt idx="936">
                  <c:v>-11.807856952271175</c:v>
                </c:pt>
                <c:pt idx="937">
                  <c:v>-11.821198927340854</c:v>
                </c:pt>
                <c:pt idx="938">
                  <c:v>-11.834540920313408</c:v>
                </c:pt>
                <c:pt idx="939">
                  <c:v>-11.847882931188519</c:v>
                </c:pt>
                <c:pt idx="940">
                  <c:v>-11.861224959965863</c:v>
                </c:pt>
                <c:pt idx="941">
                  <c:v>-11.874567006645123</c:v>
                </c:pt>
                <c:pt idx="942">
                  <c:v>-11.887909071225977</c:v>
                </c:pt>
                <c:pt idx="943">
                  <c:v>-11.901251153708102</c:v>
                </c:pt>
                <c:pt idx="944">
                  <c:v>-11.914593254091182</c:v>
                </c:pt>
                <c:pt idx="945">
                  <c:v>-11.927935372374893</c:v>
                </c:pt>
                <c:pt idx="946">
                  <c:v>-11.941277508558915</c:v>
                </c:pt>
                <c:pt idx="947">
                  <c:v>-11.954619662642928</c:v>
                </c:pt>
                <c:pt idx="948">
                  <c:v>-11.96796183462661</c:v>
                </c:pt>
                <c:pt idx="949">
                  <c:v>-11.98130402450964</c:v>
                </c:pt>
                <c:pt idx="950">
                  <c:v>-11.9946462322917</c:v>
                </c:pt>
                <c:pt idx="951">
                  <c:v>-12.007988457972466</c:v>
                </c:pt>
                <c:pt idx="952">
                  <c:v>-12.021330701551621</c:v>
                </c:pt>
                <c:pt idx="953">
                  <c:v>-12.034672963028841</c:v>
                </c:pt>
                <c:pt idx="954">
                  <c:v>-12.048015242403807</c:v>
                </c:pt>
                <c:pt idx="955">
                  <c:v>-12.061357539676198</c:v>
                </c:pt>
                <c:pt idx="956">
                  <c:v>-12.074699854845694</c:v>
                </c:pt>
                <c:pt idx="957">
                  <c:v>-12.088042187911974</c:v>
                </c:pt>
                <c:pt idx="958">
                  <c:v>-12.101384538874717</c:v>
                </c:pt>
                <c:pt idx="959">
                  <c:v>-12.114726907733603</c:v>
                </c:pt>
                <c:pt idx="960">
                  <c:v>-12.128069294488311</c:v>
                </c:pt>
                <c:pt idx="961">
                  <c:v>-12.141411699138521</c:v>
                </c:pt>
                <c:pt idx="962">
                  <c:v>-12.154754121683911</c:v>
                </c:pt>
                <c:pt idx="963">
                  <c:v>-12.168096562124163</c:v>
                </c:pt>
                <c:pt idx="964">
                  <c:v>-12.181439020458953</c:v>
                </c:pt>
                <c:pt idx="965">
                  <c:v>-12.194781496687963</c:v>
                </c:pt>
                <c:pt idx="966">
                  <c:v>-12.20812399081087</c:v>
                </c:pt>
                <c:pt idx="967">
                  <c:v>-12.221466502827356</c:v>
                </c:pt>
                <c:pt idx="968">
                  <c:v>-12.234809032737099</c:v>
                </c:pt>
                <c:pt idx="969">
                  <c:v>-12.248151580539778</c:v>
                </c:pt>
                <c:pt idx="970">
                  <c:v>-12.261494146235073</c:v>
                </c:pt>
                <c:pt idx="971">
                  <c:v>-12.274836729822663</c:v>
                </c:pt>
                <c:pt idx="972">
                  <c:v>-12.28817933130223</c:v>
                </c:pt>
                <c:pt idx="973">
                  <c:v>-12.30152195067345</c:v>
                </c:pt>
                <c:pt idx="974">
                  <c:v>-12.314864587936004</c:v>
                </c:pt>
                <c:pt idx="975">
                  <c:v>-12.328207243089571</c:v>
                </c:pt>
                <c:pt idx="976">
                  <c:v>-12.341549916133831</c:v>
                </c:pt>
                <c:pt idx="977">
                  <c:v>-12.354892607068463</c:v>
                </c:pt>
                <c:pt idx="978">
                  <c:v>-12.368235315893145</c:v>
                </c:pt>
                <c:pt idx="979">
                  <c:v>-12.381578042607558</c:v>
                </c:pt>
                <c:pt idx="980">
                  <c:v>-12.394920787211381</c:v>
                </c:pt>
                <c:pt idx="981">
                  <c:v>-12.408263549704294</c:v>
                </c:pt>
                <c:pt idx="982">
                  <c:v>-12.421606330085977</c:v>
                </c:pt>
                <c:pt idx="983">
                  <c:v>-12.434949128356108</c:v>
                </c:pt>
                <c:pt idx="984">
                  <c:v>-12.448291944514366</c:v>
                </c:pt>
                <c:pt idx="985">
                  <c:v>-12.461634778560434</c:v>
                </c:pt>
                <c:pt idx="986">
                  <c:v>-12.474977630493989</c:v>
                </c:pt>
                <c:pt idx="987">
                  <c:v>-12.488320500314709</c:v>
                </c:pt>
                <c:pt idx="988">
                  <c:v>-12.501663388022275</c:v>
                </c:pt>
                <c:pt idx="989">
                  <c:v>-12.515006293616366</c:v>
                </c:pt>
                <c:pt idx="990">
                  <c:v>-12.528349217096663</c:v>
                </c:pt>
                <c:pt idx="991">
                  <c:v>-12.541692158462842</c:v>
                </c:pt>
                <c:pt idx="992">
                  <c:v>-12.555035117714587</c:v>
                </c:pt>
                <c:pt idx="993">
                  <c:v>-12.568378094851573</c:v>
                </c:pt>
                <c:pt idx="994">
                  <c:v>-12.581721089873483</c:v>
                </c:pt>
                <c:pt idx="995">
                  <c:v>-12.595064102779995</c:v>
                </c:pt>
                <c:pt idx="996">
                  <c:v>-12.608407133570788</c:v>
                </c:pt>
                <c:pt idx="997">
                  <c:v>-12.621750182245542</c:v>
                </c:pt>
                <c:pt idx="998">
                  <c:v>-12.635093248803937</c:v>
                </c:pt>
                <c:pt idx="999">
                  <c:v>-12.648436333245652</c:v>
                </c:pt>
                <c:pt idx="1000">
                  <c:v>-12.661779435570367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02-4CA2-BA56-E0E46E48A268}"/>
            </c:ext>
          </c:extLst>
        </c:ser>
        <c:ser>
          <c:idx val="2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6.7664209236084237E-6</c:v>
                </c:pt>
                <c:pt idx="2">
                  <c:v>1.2579820776912048E-4</c:v>
                </c:pt>
                <c:pt idx="3">
                  <c:v>5.5462205426296202E-4</c:v>
                </c:pt>
                <c:pt idx="4">
                  <c:v>1.4909211581924009E-3</c:v>
                </c:pt>
                <c:pt idx="5">
                  <c:v>3.1326012307218588E-3</c:v>
                </c:pt>
                <c:pt idx="6">
                  <c:v>5.627790690633197E-3</c:v>
                </c:pt>
                <c:pt idx="7">
                  <c:v>9.0247019151438023E-3</c:v>
                </c:pt>
                <c:pt idx="8">
                  <c:v>1.3321530870825743E-2</c:v>
                </c:pt>
                <c:pt idx="9">
                  <c:v>1.8516462908328316E-2</c:v>
                </c:pt>
                <c:pt idx="10">
                  <c:v>2.46076727961895E-2</c:v>
                </c:pt>
                <c:pt idx="11">
                  <c:v>3.1593324755105845E-2</c:v>
                </c:pt>
                <c:pt idx="12">
                  <c:v>3.9471572492657876E-2</c:v>
                </c:pt>
                <c:pt idx="13">
                  <c:v>4.8240559238488044E-2</c:v>
                </c:pt>
                <c:pt idx="14">
                  <c:v>5.7898417779928255E-2</c:v>
                </c:pt>
                <c:pt idx="15">
                  <c:v>6.844327049807386E-2</c:v>
                </c:pt>
                <c:pt idx="16">
                  <c:v>7.9873229404301069E-2</c:v>
                </c:pt>
                <c:pt idx="17">
                  <c:v>9.2186396177224586E-2</c:v>
                </c:pt>
                <c:pt idx="18">
                  <c:v>0.10538086220009237</c:v>
                </c:pt>
                <c:pt idx="19">
                  <c:v>0.11945470859861418</c:v>
                </c:pt>
                <c:pt idx="20">
                  <c:v>0.13440600627922072</c:v>
                </c:pt>
                <c:pt idx="21">
                  <c:v>0.15023281596775007</c:v>
                </c:pt>
                <c:pt idx="22">
                  <c:v>0.16693318824855788</c:v>
                </c:pt>
                <c:pt idx="23">
                  <c:v>0.18450516360404826</c:v>
                </c:pt>
                <c:pt idx="24">
                  <c:v>0.20294677245462159</c:v>
                </c:pt>
                <c:pt idx="25">
                  <c:v>0.22225603519903597</c:v>
                </c:pt>
                <c:pt idx="26">
                  <c:v>0.24243096225517877</c:v>
                </c:pt>
                <c:pt idx="27">
                  <c:v>0.26346955410124451</c:v>
                </c:pt>
                <c:pt idx="28">
                  <c:v>0.28536980131731599</c:v>
                </c:pt>
                <c:pt idx="29">
                  <c:v>0.30812968462734436</c:v>
                </c:pt>
                <c:pt idx="30">
                  <c:v>0.33174717494152495</c:v>
                </c:pt>
                <c:pt idx="31">
                  <c:v>0.35622023339906506</c:v>
                </c:pt>
                <c:pt idx="32">
                  <c:v>0.38158942169097881</c:v>
                </c:pt>
                <c:pt idx="33">
                  <c:v>0.40789681439170727</c:v>
                </c:pt>
                <c:pt idx="34">
                  <c:v>0.43514336195903242</c:v>
                </c:pt>
                <c:pt idx="35">
                  <c:v>0.46332993016305235</c:v>
                </c:pt>
                <c:pt idx="36">
                  <c:v>0.49245728127188809</c:v>
                </c:pt>
                <c:pt idx="37">
                  <c:v>0.52252607926967953</c:v>
                </c:pt>
                <c:pt idx="38">
                  <c:v>0.5535368946319088</c:v>
                </c:pt>
                <c:pt idx="39">
                  <c:v>0.58549020870772339</c:v>
                </c:pt>
                <c:pt idx="40">
                  <c:v>0.61838641775212522</c:v>
                </c:pt>
                <c:pt idx="41">
                  <c:v>0.65222583664517619</c:v>
                </c:pt>
                <c:pt idx="42">
                  <c:v>0.68700870233055022</c:v>
                </c:pt>
                <c:pt idx="43">
                  <c:v>0.72273517700167478</c:v>
                </c:pt>
                <c:pt idx="44">
                  <c:v>0.75940535106022522</c:v>
                </c:pt>
                <c:pt idx="45">
                  <c:v>0.79701924586875894</c:v>
                </c:pt>
                <c:pt idx="46">
                  <c:v>0.83557681631672132</c:v>
                </c:pt>
                <c:pt idx="47">
                  <c:v>0.875077953216851</c:v>
                </c:pt>
                <c:pt idx="48">
                  <c:v>0.91552248554710869</c:v>
                </c:pt>
                <c:pt idx="49">
                  <c:v>0.95691018255159643</c:v>
                </c:pt>
                <c:pt idx="50">
                  <c:v>0.99924075571249527</c:v>
                </c:pt>
                <c:pt idx="51">
                  <c:v>1.0425141383357071</c:v>
                </c:pt>
                <c:pt idx="52">
                  <c:v>1.0867307671936095</c:v>
                </c:pt>
                <c:pt idx="53">
                  <c:v>1.1318913092763505</c:v>
                </c:pt>
                <c:pt idx="54">
                  <c:v>1.1779963861979343</c:v>
                </c:pt>
                <c:pt idx="55">
                  <c:v>1.2250465754942961</c:v>
                </c:pt>
                <c:pt idx="56">
                  <c:v>1.2730424118519654</c:v>
                </c:pt>
                <c:pt idx="57">
                  <c:v>1.3219843882723454</c:v>
                </c:pt>
                <c:pt idx="58">
                  <c:v>1.3718729571761861</c:v>
                </c:pt>
                <c:pt idx="59">
                  <c:v>1.4227085314524313</c:v>
                </c:pt>
                <c:pt idx="60">
                  <c:v>1.4744914854552624</c:v>
                </c:pt>
                <c:pt idx="61">
                  <c:v>1.5272221559528334</c:v>
                </c:pt>
                <c:pt idx="62">
                  <c:v>1.5809008430309097</c:v>
                </c:pt>
                <c:pt idx="63">
                  <c:v>1.6355278109543554</c:v>
                </c:pt>
                <c:pt idx="64">
                  <c:v>1.6911032889891806</c:v>
                </c:pt>
                <c:pt idx="65">
                  <c:v>1.7476274721876446</c:v>
                </c:pt>
                <c:pt idx="66">
                  <c:v>1.8051005221387193</c:v>
                </c:pt>
                <c:pt idx="67">
                  <c:v>1.8635225676860381</c:v>
                </c:pt>
                <c:pt idx="68">
                  <c:v>1.922893705615297</c:v>
                </c:pt>
                <c:pt idx="69">
                  <c:v>1.98321400131293</c:v>
                </c:pt>
                <c:pt idx="70">
                  <c:v>2.0444834893977446</c:v>
                </c:pt>
                <c:pt idx="71">
                  <c:v>2.1067021743270846</c:v>
                </c:pt>
                <c:pt idx="72">
                  <c:v>2.1698700309789767</c:v>
                </c:pt>
                <c:pt idx="73">
                  <c:v>2.2339870052116106</c:v>
                </c:pt>
                <c:pt idx="74">
                  <c:v>2.2990530144014163</c:v>
                </c:pt>
                <c:pt idx="75">
                  <c:v>2.3650679479609096</c:v>
                </c:pt>
                <c:pt idx="76">
                  <c:v>2.4320316678374039</c:v>
                </c:pt>
                <c:pt idx="77">
                  <c:v>2.4999440089936091</c:v>
                </c:pt>
                <c:pt idx="78">
                  <c:v>2.5688047798710754</c:v>
                </c:pt>
                <c:pt idx="79">
                  <c:v>2.6386137628373731</c:v>
                </c:pt>
                <c:pt idx="80">
                  <c:v>2.7093707146178505</c:v>
                </c:pt>
                <c:pt idx="81">
                  <c:v>2.7810753667127508</c:v>
                </c:pt>
                <c:pt idx="82">
                  <c:v>2.8537274258004248</c:v>
                </c:pt>
                <c:pt idx="83">
                  <c:v>2.9273265741273313</c:v>
                </c:pt>
                <c:pt idx="84">
                  <c:v>3.0018724698854728</c:v>
                </c:pt>
                <c:pt idx="85">
                  <c:v>3.0773647475778776</c:v>
                </c:pt>
                <c:pt idx="86">
                  <c:v>3.1538030183727019</c:v>
                </c:pt>
                <c:pt idx="87">
                  <c:v>3.2311868704464919</c:v>
                </c:pt>
                <c:pt idx="88">
                  <c:v>3.3095158693171163</c:v>
                </c:pt>
                <c:pt idx="89">
                  <c:v>3.3887895581668466</c:v>
                </c:pt>
                <c:pt idx="90">
                  <c:v>3.4690074581560411</c:v>
                </c:pt>
                <c:pt idx="91">
                  <c:v>3.5501690687278593</c:v>
                </c:pt>
                <c:pt idx="92">
                  <c:v>3.632273867904408</c:v>
                </c:pt>
                <c:pt idx="93">
                  <c:v>3.7153213125747055</c:v>
                </c:pt>
                <c:pt idx="94">
                  <c:v>3.7993108387748209</c:v>
                </c:pt>
                <c:pt idx="95">
                  <c:v>3.8842418619605317</c:v>
                </c:pt>
                <c:pt idx="96">
                  <c:v>3.9701137772728243</c:v>
                </c:pt>
                <c:pt idx="97">
                  <c:v>4.0569259597965432</c:v>
                </c:pt>
                <c:pt idx="98">
                  <c:v>4.1446777648124797</c:v>
                </c:pt>
                <c:pt idx="99">
                  <c:v>4.2333685280431732</c:v>
                </c:pt>
                <c:pt idx="100">
                  <c:v>4.3229975658926927</c:v>
                </c:pt>
                <c:pt idx="101">
                  <c:v>4.4135640375439404</c:v>
                </c:pt>
                <c:pt idx="102">
                  <c:v>4.5050668064480917</c:v>
                </c:pt>
                <c:pt idx="103">
                  <c:v>4.5975045779198203</c:v>
                </c:pt>
                <c:pt idx="104">
                  <c:v>4.6908760373460341</c:v>
                </c:pt>
                <c:pt idx="105">
                  <c:v>4.785179850431283</c:v>
                </c:pt>
                <c:pt idx="106">
                  <c:v>4.8804146634378585</c:v>
                </c:pt>
                <c:pt idx="107">
                  <c:v>4.9765791034207849</c:v>
                </c:pt>
                <c:pt idx="108">
                  <c:v>5.073671778457908</c:v>
                </c:pt>
                <c:pt idx="109">
                  <c:v>5.1716912778752677</c:v>
                </c:pt>
                <c:pt idx="110">
                  <c:v>5.2706361724679409</c:v>
                </c:pt>
                <c:pt idx="111">
                  <c:v>5.3705050147165183</c:v>
                </c:pt>
                <c:pt idx="112">
                  <c:v>5.4712963389993901</c:v>
                </c:pt>
                <c:pt idx="113">
                  <c:v>5.5730086618009844</c:v>
                </c:pt>
                <c:pt idx="114">
                  <c:v>5.6756404819161226</c:v>
                </c:pt>
                <c:pt idx="115">
                  <c:v>5.7791902806506181</c:v>
                </c:pt>
                <c:pt idx="116">
                  <c:v>5.8836565220182688</c:v>
                </c:pt>
                <c:pt idx="117">
                  <c:v>5.9890376529343623</c:v>
                </c:pt>
                <c:pt idx="118">
                  <c:v>6.0953321034058243</c:v>
                </c:pt>
                <c:pt idx="119">
                  <c:v>6.2025382867181245</c:v>
                </c:pt>
                <c:pt idx="120">
                  <c:v>6.3106545996190571</c:v>
                </c:pt>
                <c:pt idx="121">
                  <c:v>6.4196794224994997</c:v>
                </c:pt>
                <c:pt idx="122">
                  <c:v>6.5296111195712561</c:v>
                </c:pt>
                <c:pt idx="123">
                  <c:v>6.6404480390420835</c:v>
                </c:pt>
                <c:pt idx="124">
                  <c:v>6.7521885132879964</c:v>
                </c:pt>
                <c:pt idx="125">
                  <c:v>6.8648308590229368</c:v>
                </c:pt>
                <c:pt idx="126">
                  <c:v>6.9783733774659016</c:v>
                </c:pt>
                <c:pt idx="127">
                  <c:v>7.092814354505605</c:v>
                </c:pt>
                <c:pt idx="128">
                  <c:v>7.2081520608627612</c:v>
                </c:pt>
                <c:pt idx="129">
                  <c:v>7.3243847522500571</c:v>
                </c:pt>
                <c:pt idx="130">
                  <c:v>7.4415106695298956</c:v>
                </c:pt>
                <c:pt idx="131">
                  <c:v>7.5595280388699715</c:v>
                </c:pt>
                <c:pt idx="132">
                  <c:v>7.6784350718967511</c:v>
                </c:pt>
                <c:pt idx="133">
                  <c:v>7.7982299658469252</c:v>
                </c:pt>
                <c:pt idx="134">
                  <c:v>7.9189109037168848</c:v>
                </c:pt>
                <c:pt idx="135">
                  <c:v>8.0404760544102913</c:v>
                </c:pt>
                <c:pt idx="136">
                  <c:v>8.1629235728837877</c:v>
                </c:pt>
                <c:pt idx="137">
                  <c:v>8.2862516002909139</c:v>
                </c:pt>
                <c:pt idx="138">
                  <c:v>8.4104582641242782</c:v>
                </c:pt>
                <c:pt idx="139">
                  <c:v>8.5355416783560241</c:v>
                </c:pt>
                <c:pt idx="140">
                  <c:v>8.6614999435766524</c:v>
                </c:pt>
                <c:pt idx="141">
                  <c:v>8.7883311471322454</c:v>
                </c:pt>
                <c:pt idx="142">
                  <c:v>8.9160333632601265</c:v>
                </c:pt>
                <c:pt idx="143">
                  <c:v>9.0446046532230113</c:v>
                </c:pt>
                <c:pt idx="144">
                  <c:v>9.1740430654416869</c:v>
                </c:pt>
                <c:pt idx="145">
                  <c:v>9.3043466356262492</c:v>
                </c:pt>
                <c:pt idx="146">
                  <c:v>9.4355133869059546</c:v>
                </c:pt>
                <c:pt idx="147">
                  <c:v>9.5675413299577077</c:v>
                </c:pt>
                <c:pt idx="148">
                  <c:v>9.7004284631332247</c:v>
                </c:pt>
                <c:pt idx="149">
                  <c:v>9.834172772584914</c:v>
                </c:pt>
                <c:pt idx="150">
                  <c:v>9.9687722323904921</c:v>
                </c:pt>
                <c:pt idx="151">
                  <c:v>10.104224853936708</c:v>
                </c:pt>
                <c:pt idx="152">
                  <c:v>10.240528735443547</c:v>
                </c:pt>
                <c:pt idx="153">
                  <c:v>10.377682012988437</c:v>
                </c:pt>
                <c:pt idx="154">
                  <c:v>10.515682811383806</c:v>
                </c:pt>
                <c:pt idx="155">
                  <c:v>10.654529244288252</c:v>
                </c:pt>
                <c:pt idx="156">
                  <c:v>10.794219414316691</c:v>
                </c:pt>
                <c:pt idx="157">
                  <c:v>10.934751413149543</c:v>
                </c:pt>
                <c:pt idx="158">
                  <c:v>11.076123321640948</c:v>
                </c:pt>
                <c:pt idx="159">
                  <c:v>11.21833320992604</c:v>
                </c:pt>
                <c:pt idx="160">
                  <c:v>11.361379137527322</c:v>
                </c:pt>
                <c:pt idx="161">
                  <c:v>11.505259153460123</c:v>
                </c:pt>
                <c:pt idx="162">
                  <c:v>11.649971296337192</c:v>
                </c:pt>
                <c:pt idx="163">
                  <c:v>11.795513594472428</c:v>
                </c:pt>
                <c:pt idx="164">
                  <c:v>11.941884065983778</c:v>
                </c:pt>
                <c:pt idx="165">
                  <c:v>12.089080718895302</c:v>
                </c:pt>
                <c:pt idx="166">
                  <c:v>12.237101551238434</c:v>
                </c:pt>
                <c:pt idx="167">
                  <c:v>12.385944551152464</c:v>
                </c:pt>
                <c:pt idx="168">
                  <c:v>12.535607696984236</c:v>
                </c:pt>
                <c:pt idx="169">
                  <c:v>12.686088957387089</c:v>
                </c:pt>
                <c:pt idx="170">
                  <c:v>12.837386291419051</c:v>
                </c:pt>
                <c:pt idx="171">
                  <c:v>12.98949764864032</c:v>
                </c:pt>
                <c:pt idx="172">
                  <c:v>13.142420969210002</c:v>
                </c:pt>
                <c:pt idx="173">
                  <c:v>13.296154183982166</c:v>
                </c:pt>
                <c:pt idx="174">
                  <c:v>13.450695214601199</c:v>
                </c:pt>
                <c:pt idx="175">
                  <c:v>13.606041973596486</c:v>
                </c:pt>
                <c:pt idx="176">
                  <c:v>13.762192364476423</c:v>
                </c:pt>
                <c:pt idx="177">
                  <c:v>13.919144281821767</c:v>
                </c:pt>
                <c:pt idx="178">
                  <c:v>14.076895611378353</c:v>
                </c:pt>
                <c:pt idx="179">
                  <c:v>14.235444230149167</c:v>
                </c:pt>
                <c:pt idx="180">
                  <c:v>14.394788006485802</c:v>
                </c:pt>
                <c:pt idx="181">
                  <c:v>14.554924800179293</c:v>
                </c:pt>
                <c:pt idx="182">
                  <c:v>14.715852462550354</c:v>
                </c:pt>
                <c:pt idx="183">
                  <c:v>14.877568836539009</c:v>
                </c:pt>
                <c:pt idx="184">
                  <c:v>15.040071756793651</c:v>
                </c:pt>
                <c:pt idx="185">
                  <c:v>15.203359049759509</c:v>
                </c:pt>
                <c:pt idx="186">
                  <c:v>15.367428533766551</c:v>
                </c:pt>
                <c:pt idx="187">
                  <c:v>15.53227801911682</c:v>
                </c:pt>
                <c:pt idx="188">
                  <c:v>15.697905308171224</c:v>
                </c:pt>
                <c:pt idx="189">
                  <c:v>15.86430819543577</c:v>
                </c:pt>
                <c:pt idx="190">
                  <c:v>16.03148446764726</c:v>
                </c:pt>
                <c:pt idx="191">
                  <c:v>16.199431903858454</c:v>
                </c:pt>
                <c:pt idx="192">
                  <c:v>16.368148275522699</c:v>
                </c:pt>
                <c:pt idx="193">
                  <c:v>16.537631346578063</c:v>
                </c:pt>
                <c:pt idx="194">
                  <c:v>16.707878873530909</c:v>
                </c:pt>
                <c:pt idx="195">
                  <c:v>16.878888605539011</c:v>
                </c:pt>
                <c:pt idx="196">
                  <c:v>17.050658284494126</c:v>
                </c:pt>
                <c:pt idx="197">
                  <c:v>17.223185645104092</c:v>
                </c:pt>
                <c:pt idx="198">
                  <c:v>17.396468414974425</c:v>
                </c:pt>
                <c:pt idx="199">
                  <c:v>17.570504314689437</c:v>
                </c:pt>
                <c:pt idx="200">
                  <c:v>17.745291057892857</c:v>
                </c:pt>
                <c:pt idx="201">
                  <c:v>17.920826351367989</c:v>
                </c:pt>
                <c:pt idx="202">
                  <c:v>18.097107895117389</c:v>
                </c:pt>
                <c:pt idx="203">
                  <c:v>18.274133382442077</c:v>
                </c:pt>
                <c:pt idx="204">
                  <c:v>18.45190050002029</c:v>
                </c:pt>
                <c:pt idx="205">
                  <c:v>18.630406927985756</c:v>
                </c:pt>
                <c:pt idx="206">
                  <c:v>18.809650340005543</c:v>
                </c:pt>
                <c:pt idx="207">
                  <c:v>18.989628403357418</c:v>
                </c:pt>
                <c:pt idx="208">
                  <c:v>19.170338779006798</c:v>
                </c:pt>
                <c:pt idx="209">
                  <c:v>19.351779121683222</c:v>
                </c:pt>
                <c:pt idx="210">
                  <c:v>19.533947079956398</c:v>
                </c:pt>
                <c:pt idx="211">
                  <c:v>19.716840296311815</c:v>
                </c:pt>
                <c:pt idx="212">
                  <c:v>19.900456407225903</c:v>
                </c:pt>
                <c:pt idx="213">
                  <c:v>20.084793043240783</c:v>
                </c:pt>
                <c:pt idx="214">
                  <c:v>20.269847829038568</c:v>
                </c:pt>
                <c:pt idx="215">
                  <c:v>20.455618383515255</c:v>
                </c:pt>
                <c:pt idx="216">
                  <c:v>20.642102319854175</c:v>
                </c:pt>
                <c:pt idx="217">
                  <c:v>20.829297245599051</c:v>
                </c:pt>
                <c:pt idx="218">
                  <c:v>21.017200762726596</c:v>
                </c:pt>
                <c:pt idx="219">
                  <c:v>21.205810467718742</c:v>
                </c:pt>
                <c:pt idx="220">
                  <c:v>21.39512395163441</c:v>
                </c:pt>
                <c:pt idx="221">
                  <c:v>21.585138800180918</c:v>
                </c:pt>
                <c:pt idx="222">
                  <c:v>21.775852593784926</c:v>
                </c:pt>
                <c:pt idx="223">
                  <c:v>21.96726290766302</c:v>
                </c:pt>
                <c:pt idx="224">
                  <c:v>22.159367311891874</c:v>
                </c:pt>
                <c:pt idx="225">
                  <c:v>22.352163371477999</c:v>
                </c:pt>
                <c:pt idx="226">
                  <c:v>22.545648646427114</c:v>
                </c:pt>
                <c:pt idx="227">
                  <c:v>22.739820691813087</c:v>
                </c:pt>
                <c:pt idx="228">
                  <c:v>22.934677057846518</c:v>
                </c:pt>
                <c:pt idx="229">
                  <c:v>23.130215289942889</c:v>
                </c:pt>
                <c:pt idx="230">
                  <c:v>23.326432928790354</c:v>
                </c:pt>
                <c:pt idx="231">
                  <c:v>23.523327510417104</c:v>
                </c:pt>
                <c:pt idx="232">
                  <c:v>23.720896566258372</c:v>
                </c:pt>
                <c:pt idx="233">
                  <c:v>23.919137623223023</c:v>
                </c:pt>
                <c:pt idx="234">
                  <c:v>24.118048203759773</c:v>
                </c:pt>
                <c:pt idx="235">
                  <c:v>24.317625825923017</c:v>
                </c:pt>
                <c:pt idx="236">
                  <c:v>24.517868003438277</c:v>
                </c:pt>
                <c:pt idx="237">
                  <c:v>24.718772245767251</c:v>
                </c:pt>
                <c:pt idx="238">
                  <c:v>24.920336058172499</c:v>
                </c:pt>
                <c:pt idx="239">
                  <c:v>25.122556941781731</c:v>
                </c:pt>
                <c:pt idx="240">
                  <c:v>25.325432393651734</c:v>
                </c:pt>
                <c:pt idx="241">
                  <c:v>25.528959906831904</c:v>
                </c:pt>
                <c:pt idx="242">
                  <c:v>25.733136970427402</c:v>
                </c:pt>
                <c:pt idx="243">
                  <c:v>25.937961069661938</c:v>
                </c:pt>
                <c:pt idx="244">
                  <c:v>26.143429685940184</c:v>
                </c:pt>
                <c:pt idx="245">
                  <c:v>26.349540296909804</c:v>
                </c:pt>
                <c:pt idx="246">
                  <c:v>26.556290376523112</c:v>
                </c:pt>
                <c:pt idx="247">
                  <c:v>26.763677395098362</c:v>
                </c:pt>
                <c:pt idx="248">
                  <c:v>26.971698819380659</c:v>
                </c:pt>
                <c:pt idx="249">
                  <c:v>27.180352112602503</c:v>
                </c:pt>
                <c:pt idx="250">
                  <c:v>27.389634734543964</c:v>
                </c:pt>
                <c:pt idx="251">
                  <c:v>27.599543914835806</c:v>
                </c:pt>
                <c:pt idx="252">
                  <c:v>27.810076425978416</c:v>
                </c:pt>
                <c:pt idx="253">
                  <c:v>28.021228809992678</c:v>
                </c:pt>
                <c:pt idx="254">
                  <c:v>28.232997605365256</c:v>
                </c:pt>
                <c:pt idx="255">
                  <c:v>28.445379347128739</c:v>
                </c:pt>
                <c:pt idx="256">
                  <c:v>28.658370566941198</c:v>
                </c:pt>
                <c:pt idx="257">
                  <c:v>28.871967793165155</c:v>
                </c:pt>
                <c:pt idx="258">
                  <c:v>29.086167550945945</c:v>
                </c:pt>
                <c:pt idx="259">
                  <c:v>29.300966362289479</c:v>
                </c:pt>
                <c:pt idx="260">
                  <c:v>29.51636074613943</c:v>
                </c:pt>
                <c:pt idx="261">
                  <c:v>29.732347218453818</c:v>
                </c:pt>
                <c:pt idx="262">
                  <c:v>29.948922292281008</c:v>
                </c:pt>
                <c:pt idx="263">
                  <c:v>30.166082477835108</c:v>
                </c:pt>
                <c:pt idx="264">
                  <c:v>30.383824282570799</c:v>
                </c:pt>
                <c:pt idx="265">
                  <c:v>30.60214421125756</c:v>
                </c:pt>
                <c:pt idx="266">
                  <c:v>30.821038766053313</c:v>
                </c:pt>
                <c:pt idx="267">
                  <c:v>31.040504446577494</c:v>
                </c:pt>
                <c:pt idx="268">
                  <c:v>31.26053774998352</c:v>
                </c:pt>
                <c:pt idx="269">
                  <c:v>31.48113517103069</c:v>
                </c:pt>
                <c:pt idx="270">
                  <c:v>31.702293202155506</c:v>
                </c:pt>
                <c:pt idx="271">
                  <c:v>31.924008333542396</c:v>
                </c:pt>
                <c:pt idx="272">
                  <c:v>32.146277053193877</c:v>
                </c:pt>
                <c:pt idx="273">
                  <c:v>32.369095847000139</c:v>
                </c:pt>
                <c:pt idx="274">
                  <c:v>32.592461198808039</c:v>
                </c:pt>
                <c:pt idx="275">
                  <c:v>32.816369590489522</c:v>
                </c:pt>
                <c:pt idx="276">
                  <c:v>33.040817502009482</c:v>
                </c:pt>
                <c:pt idx="277">
                  <c:v>33.265801411493037</c:v>
                </c:pt>
                <c:pt idx="278">
                  <c:v>33.491317795292247</c:v>
                </c:pt>
                <c:pt idx="279">
                  <c:v>33.717363128052227</c:v>
                </c:pt>
                <c:pt idx="280">
                  <c:v>33.943933882776733</c:v>
                </c:pt>
                <c:pt idx="281">
                  <c:v>34.171026530893137</c:v>
                </c:pt>
                <c:pt idx="282">
                  <c:v>34.398637542316884</c:v>
                </c:pt>
                <c:pt idx="283">
                  <c:v>34.626763385515325</c:v>
                </c:pt>
                <c:pt idx="284">
                  <c:v>34.855400527571028</c:v>
                </c:pt>
                <c:pt idx="285">
                  <c:v>35.084545434244525</c:v>
                </c:pt>
                <c:pt idx="286">
                  <c:v>35.314194570036442</c:v>
                </c:pt>
                <c:pt idx="287">
                  <c:v>35.544344398249152</c:v>
                </c:pt>
                <c:pt idx="288">
                  <c:v>35.774991381047784</c:v>
                </c:pt>
                <c:pt idx="289">
                  <c:v>36.006131979520724</c:v>
                </c:pt>
                <c:pt idx="290">
                  <c:v>36.237762653739559</c:v>
                </c:pt>
                <c:pt idx="291">
                  <c:v>36.469879862818416</c:v>
                </c:pt>
                <c:pt idx="292">
                  <c:v>36.702480064972796</c:v>
                </c:pt>
                <c:pt idx="293">
                  <c:v>36.935559717577831</c:v>
                </c:pt>
                <c:pt idx="294">
                  <c:v>37.169115277225998</c:v>
                </c:pt>
                <c:pt idx="295">
                  <c:v>37.403143199784246</c:v>
                </c:pt>
                <c:pt idx="296">
                  <c:v>37.637639940450626</c:v>
                </c:pt>
                <c:pt idx="297">
                  <c:v>37.872601953810324</c:v>
                </c:pt>
                <c:pt idx="298">
                  <c:v>38.10802314377635</c:v>
                </c:pt>
                <c:pt idx="299">
                  <c:v>38.343892311859577</c:v>
                </c:pt>
                <c:pt idx="300">
                  <c:v>38.580195707975705</c:v>
                </c:pt>
                <c:pt idx="301">
                  <c:v>38.816919583084861</c:v>
                </c:pt>
                <c:pt idx="302">
                  <c:v>39.054050189568038</c:v>
                </c:pt>
                <c:pt idx="303">
                  <c:v>39.291573781596988</c:v>
                </c:pt>
                <c:pt idx="304">
                  <c:v>39.529476615497494</c:v>
                </c:pt>
                <c:pt idx="305">
                  <c:v>39.767744950106092</c:v>
                </c:pt>
                <c:pt idx="306">
                  <c:v>40.006365047120262</c:v>
                </c:pt>
                <c:pt idx="307">
                  <c:v>40.245323171442038</c:v>
                </c:pt>
                <c:pt idx="308">
                  <c:v>40.484605591515098</c:v>
                </c:pt>
                <c:pt idx="309">
                  <c:v>40.724198579655351</c:v>
                </c:pt>
                <c:pt idx="310">
                  <c:v>40.964088412374984</c:v>
                </c:pt>
                <c:pt idx="311">
                  <c:v>41.204261370700074</c:v>
                </c:pt>
                <c:pt idx="312">
                  <c:v>41.444703740481636</c:v>
                </c:pt>
                <c:pt idx="313">
                  <c:v>41.685401812700285</c:v>
                </c:pt>
                <c:pt idx="314">
                  <c:v>41.926341883764394</c:v>
                </c:pt>
                <c:pt idx="315">
                  <c:v>42.167510255801822</c:v>
                </c:pt>
                <c:pt idx="316">
                  <c:v>42.408893236945254</c:v>
                </c:pt>
                <c:pt idx="317">
                  <c:v>42.65047714161107</c:v>
                </c:pt>
                <c:pt idx="318">
                  <c:v>42.892248290771867</c:v>
                </c:pt>
                <c:pt idx="319">
                  <c:v>43.134193012222603</c:v>
                </c:pt>
                <c:pt idx="320">
                  <c:v>43.376297640840342</c:v>
                </c:pt>
                <c:pt idx="321">
                  <c:v>43.618549544197791</c:v>
                </c:pt>
                <c:pt idx="322">
                  <c:v>43.860938148199949</c:v>
                </c:pt>
                <c:pt idx="323">
                  <c:v>44.103453910734359</c:v>
                </c:pt>
                <c:pt idx="324">
                  <c:v>44.346087295225828</c:v>
                </c:pt>
                <c:pt idx="325">
                  <c:v>44.588828770746645</c:v>
                </c:pt>
                <c:pt idx="326">
                  <c:v>44.831668812123702</c:v>
                </c:pt>
                <c:pt idx="327">
                  <c:v>45.074597900042583</c:v>
                </c:pt>
                <c:pt idx="328">
                  <c:v>45.317606521148576</c:v>
                </c:pt>
                <c:pt idx="329">
                  <c:v>45.560685168144687</c:v>
                </c:pt>
                <c:pt idx="330">
                  <c:v>45.803824339886567</c:v>
                </c:pt>
                <c:pt idx="331">
                  <c:v>46.047014541474482</c:v>
                </c:pt>
                <c:pt idx="332">
                  <c:v>46.290246284342231</c:v>
                </c:pt>
                <c:pt idx="333">
                  <c:v>46.533510086343085</c:v>
                </c:pt>
                <c:pt idx="334">
                  <c:v>46.776796471832753</c:v>
                </c:pt>
                <c:pt idx="335">
                  <c:v>47.020095971749335</c:v>
                </c:pt>
                <c:pt idx="336">
                  <c:v>47.263399123690363</c:v>
                </c:pt>
                <c:pt idx="337">
                  <c:v>47.506696471986835</c:v>
                </c:pt>
                <c:pt idx="338">
                  <c:v>47.749978567774342</c:v>
                </c:pt>
                <c:pt idx="339">
                  <c:v>47.993235969061246</c:v>
                </c:pt>
                <c:pt idx="340">
                  <c:v>48.236459240793934</c:v>
                </c:pt>
                <c:pt idx="341">
                  <c:v>48.479638954919182</c:v>
                </c:pt>
                <c:pt idx="342">
                  <c:v>48.722765690443573</c:v>
                </c:pt>
                <c:pt idx="343">
                  <c:v>48.965830033490079</c:v>
                </c:pt>
                <c:pt idx="344">
                  <c:v>49.208822577351711</c:v>
                </c:pt>
                <c:pt idx="345">
                  <c:v>49.451733922542338</c:v>
                </c:pt>
                <c:pt idx="346">
                  <c:v>49.694554676844618</c:v>
                </c:pt>
                <c:pt idx="347">
                  <c:v>49.937275455355078</c:v>
                </c:pt>
                <c:pt idx="348">
                  <c:v>50.179886992497835</c:v>
                </c:pt>
                <c:pt idx="349">
                  <c:v>50.42238025399309</c:v>
                </c:pt>
                <c:pt idx="350">
                  <c:v>50.664746324723218</c:v>
                </c:pt>
                <c:pt idx="351">
                  <c:v>50.906976296635065</c:v>
                </c:pt>
                <c:pt idx="352">
                  <c:v>51.149061268764555</c:v>
                </c:pt>
                <c:pt idx="353">
                  <c:v>51.390992347258731</c:v>
                </c:pt>
                <c:pt idx="354">
                  <c:v>51.632760645395308</c:v>
                </c:pt>
                <c:pt idx="355">
                  <c:v>51.8743572835997</c:v>
                </c:pt>
                <c:pt idx="356">
                  <c:v>52.115773389459569</c:v>
                </c:pt>
                <c:pt idx="357">
                  <c:v>52.357000097736851</c:v>
                </c:pt>
                <c:pt idx="358">
                  <c:v>52.59802855037735</c:v>
                </c:pt>
                <c:pt idx="359">
                  <c:v>52.838849896517793</c:v>
                </c:pt>
                <c:pt idx="360">
                  <c:v>53.079457634144958</c:v>
                </c:pt>
                <c:pt idx="361">
                  <c:v>53.319849950574614</c:v>
                </c:pt>
                <c:pt idx="362">
                  <c:v>53.56002737627918</c:v>
                </c:pt>
                <c:pt idx="363">
                  <c:v>53.799990439896973</c:v>
                </c:pt>
                <c:pt idx="364">
                  <c:v>54.039739668240891</c:v>
                </c:pt>
                <c:pt idx="365">
                  <c:v>54.279275586307023</c:v>
                </c:pt>
                <c:pt idx="366">
                  <c:v>54.518598717283247</c:v>
                </c:pt>
                <c:pt idx="367">
                  <c:v>54.757709582557744</c:v>
                </c:pt>
                <c:pt idx="368">
                  <c:v>54.996608701727489</c:v>
                </c:pt>
                <c:pt idx="369">
                  <c:v>55.235296592606666</c:v>
                </c:pt>
                <c:pt idx="370">
                  <c:v>55.473773771235045</c:v>
                </c:pt>
                <c:pt idx="371">
                  <c:v>55.712040751886327</c:v>
                </c:pt>
                <c:pt idx="372">
                  <c:v>55.950098047076402</c:v>
                </c:pt>
                <c:pt idx="373">
                  <c:v>56.187946167571589</c:v>
                </c:pt>
                <c:pt idx="374">
                  <c:v>56.425585622396824</c:v>
                </c:pt>
                <c:pt idx="375">
                  <c:v>56.663016918843788</c:v>
                </c:pt>
                <c:pt idx="376">
                  <c:v>56.900240562478992</c:v>
                </c:pt>
                <c:pt idx="377">
                  <c:v>57.137257057151828</c:v>
                </c:pt>
                <c:pt idx="378">
                  <c:v>57.37406690500255</c:v>
                </c:pt>
                <c:pt idx="379">
                  <c:v>57.610670606470215</c:v>
                </c:pt>
                <c:pt idx="380">
                  <c:v>57.847068660300607</c:v>
                </c:pt>
                <c:pt idx="381">
                  <c:v>58.083261563554068</c:v>
                </c:pt>
                <c:pt idx="382">
                  <c:v>58.319249811613311</c:v>
                </c:pt>
                <c:pt idx="383">
                  <c:v>58.555033898191191</c:v>
                </c:pt>
                <c:pt idx="384">
                  <c:v>58.790614315338424</c:v>
                </c:pt>
                <c:pt idx="385">
                  <c:v>59.025991553451242</c:v>
                </c:pt>
                <c:pt idx="386">
                  <c:v>59.261166101279045</c:v>
                </c:pt>
                <c:pt idx="387">
                  <c:v>59.496138445931976</c:v>
                </c:pt>
                <c:pt idx="388">
                  <c:v>59.730909072888458</c:v>
                </c:pt>
                <c:pt idx="389">
                  <c:v>59.9654784660027</c:v>
                </c:pt>
                <c:pt idx="390">
                  <c:v>60.199847107512142</c:v>
                </c:pt>
                <c:pt idx="391">
                  <c:v>60.434015478044877</c:v>
                </c:pt>
                <c:pt idx="392">
                  <c:v>60.66798405662702</c:v>
                </c:pt>
                <c:pt idx="393">
                  <c:v>60.90175332069002</c:v>
                </c:pt>
                <c:pt idx="394">
                  <c:v>61.135323746077972</c:v>
                </c:pt>
                <c:pt idx="395">
                  <c:v>61.368695807054827</c:v>
                </c:pt>
                <c:pt idx="396">
                  <c:v>61.601869976311626</c:v>
                </c:pt>
                <c:pt idx="397">
                  <c:v>61.834846724973644</c:v>
                </c:pt>
                <c:pt idx="398">
                  <c:v>62.067626522607512</c:v>
                </c:pt>
                <c:pt idx="399">
                  <c:v>62.300209837228294</c:v>
                </c:pt>
                <c:pt idx="400">
                  <c:v>62.532597135306538</c:v>
                </c:pt>
                <c:pt idx="401">
                  <c:v>64.845725221300455</c:v>
                </c:pt>
                <c:pt idx="402">
                  <c:v>67.139551184664299</c:v>
                </c:pt>
                <c:pt idx="403">
                  <c:v>69.414527242658835</c:v>
                </c:pt>
                <c:pt idx="404">
                  <c:v>71.671091055478172</c:v>
                </c:pt>
                <c:pt idx="405">
                  <c:v>73.909666365261103</c:v>
                </c:pt>
                <c:pt idx="406">
                  <c:v>76.130663600306164</c:v>
                </c:pt>
                <c:pt idx="407">
                  <c:v>78.334480446755265</c:v>
                </c:pt>
                <c:pt idx="408">
                  <c:v>80.521502389839426</c:v>
                </c:pt>
                <c:pt idx="409">
                  <c:v>82.692103226624425</c:v>
                </c:pt>
                <c:pt idx="410">
                  <c:v>84.846645552050802</c:v>
                </c:pt>
                <c:pt idx="411">
                  <c:v>86.985481219931913</c:v>
                </c:pt>
                <c:pt idx="412">
                  <c:v>89.108951780453566</c:v>
                </c:pt>
                <c:pt idx="413">
                  <c:v>91.217388895608266</c:v>
                </c:pt>
                <c:pt idx="414">
                  <c:v>93.311114733896048</c:v>
                </c:pt>
                <c:pt idx="415">
                  <c:v>95.390442345530303</c:v>
                </c:pt>
                <c:pt idx="416">
                  <c:v>97.455676019301507</c:v>
                </c:pt>
                <c:pt idx="417">
                  <c:v>99.507111622172559</c:v>
                </c:pt>
                <c:pt idx="418">
                  <c:v>101.54503692260646</c:v>
                </c:pt>
                <c:pt idx="419">
                  <c:v>103.56973189855991</c:v>
                </c:pt>
                <c:pt idx="420">
                  <c:v>105.58146903101419</c:v>
                </c:pt>
                <c:pt idx="421">
                  <c:v>107.58051358385723</c:v>
                </c:pt>
                <c:pt idx="422">
                  <c:v>109.56712387087755</c:v>
                </c:pt>
                <c:pt idx="423">
                  <c:v>111.5415515105819</c:v>
                </c:pt>
                <c:pt idx="424">
                  <c:v>113.50404166950212</c:v>
                </c:pt>
                <c:pt idx="425">
                  <c:v>115.4548332946154</c:v>
                </c:pt>
                <c:pt idx="426">
                  <c:v>117.39415933546198</c:v>
                </c:pt>
                <c:pt idx="427">
                  <c:v>119.32224695650859</c:v>
                </c:pt>
                <c:pt idx="428">
                  <c:v>121.23931774027169</c:v>
                </c:pt>
                <c:pt idx="429">
                  <c:v>123.14558788168321</c:v>
                </c:pt>
                <c:pt idx="430">
                  <c:v>125.04126837415234</c:v>
                </c:pt>
                <c:pt idx="431">
                  <c:v>126.92656518774933</c:v>
                </c:pt>
                <c:pt idx="432">
                  <c:v>128.80167943991219</c:v>
                </c:pt>
                <c:pt idx="433">
                  <c:v>130.6668075590533</c:v>
                </c:pt>
                <c:pt idx="434">
                  <c:v>132.52214144142087</c:v>
                </c:pt>
                <c:pt idx="435">
                  <c:v>134.36786860154962</c:v>
                </c:pt>
                <c:pt idx="436">
                  <c:v>136.20417231661565</c:v>
                </c:pt>
                <c:pt idx="437">
                  <c:v>138.03123176499275</c:v>
                </c:pt>
                <c:pt idx="438">
                  <c:v>139.84922215929006</c:v>
                </c:pt>
                <c:pt idx="439">
                  <c:v>141.65831487413581</c:v>
                </c:pt>
                <c:pt idx="440">
                  <c:v>143.45867756895666</c:v>
                </c:pt>
                <c:pt idx="441">
                  <c:v>145.25047430598852</c:v>
                </c:pt>
                <c:pt idx="442">
                  <c:v>147.03386566374195</c:v>
                </c:pt>
                <c:pt idx="443">
                  <c:v>148.80900884613254</c:v>
                </c:pt>
                <c:pt idx="444">
                  <c:v>150.57605778747595</c:v>
                </c:pt>
                <c:pt idx="445">
                  <c:v>152.33516325353614</c:v>
                </c:pt>
                <c:pt idx="446">
                  <c:v>154.08647293880526</c:v>
                </c:pt>
                <c:pt idx="447">
                  <c:v>155.83013156018444</c:v>
                </c:pt>
                <c:pt idx="448">
                  <c:v>157.56628094722583</c:v>
                </c:pt>
                <c:pt idx="449">
                  <c:v>159.2950601290874</c:v>
                </c:pt>
                <c:pt idx="450">
                  <c:v>161.0166054183448</c:v>
                </c:pt>
                <c:pt idx="451">
                  <c:v>162.73105049179674</c:v>
                </c:pt>
                <c:pt idx="452">
                  <c:v>164.43852646839335</c:v>
                </c:pt>
                <c:pt idx="453">
                  <c:v>166.13916198441066</c:v>
                </c:pt>
                <c:pt idx="454">
                  <c:v>167.83308326598774</c:v>
                </c:pt>
                <c:pt idx="455">
                  <c:v>169.52041419913743</c:v>
                </c:pt>
                <c:pt idx="456">
                  <c:v>171.20127639733604</c:v>
                </c:pt>
                <c:pt idx="457">
                  <c:v>172.87578926679188</c:v>
                </c:pt>
                <c:pt idx="458">
                  <c:v>174.54407006948773</c:v>
                </c:pt>
                <c:pt idx="459">
                  <c:v>176.20623398408785</c:v>
                </c:pt>
                <c:pt idx="460">
                  <c:v>177.86239416479489</c:v>
                </c:pt>
                <c:pt idx="461">
                  <c:v>179.51266179823915</c:v>
                </c:pt>
                <c:pt idx="462">
                  <c:v>181.15714615847693</c:v>
                </c:pt>
                <c:pt idx="463">
                  <c:v>182.7959546601727</c:v>
                </c:pt>
                <c:pt idx="464">
                  <c:v>184.42919291003469</c:v>
                </c:pt>
                <c:pt idx="465">
                  <c:v>186.05696475657103</c:v>
                </c:pt>
                <c:pt idx="466">
                  <c:v>187.67937233822985</c:v>
                </c:pt>
                <c:pt idx="467">
                  <c:v>189.29651612998356</c:v>
                </c:pt>
                <c:pt idx="468">
                  <c:v>190.90849498841504</c:v>
                </c:pt>
                <c:pt idx="469">
                  <c:v>192.51540619535999</c:v>
                </c:pt>
                <c:pt idx="470">
                  <c:v>194.11734550015726</c:v>
                </c:pt>
                <c:pt idx="471">
                  <c:v>195.71440716055648</c:v>
                </c:pt>
                <c:pt idx="472">
                  <c:v>197.30668398232959</c:v>
                </c:pt>
                <c:pt idx="473">
                  <c:v>198.89426735763033</c:v>
                </c:pt>
                <c:pt idx="474">
                  <c:v>200.47724730214384</c:v>
                </c:pt>
                <c:pt idx="475">
                  <c:v>202.05571249106569</c:v>
                </c:pt>
                <c:pt idx="476">
                  <c:v>203.62975029394809</c:v>
                </c:pt>
                <c:pt idx="477">
                  <c:v>205.19944680844824</c:v>
                </c:pt>
                <c:pt idx="478">
                  <c:v>206.76488689301209</c:v>
                </c:pt>
                <c:pt idx="479">
                  <c:v>208.32615419852485</c:v>
                </c:pt>
                <c:pt idx="480">
                  <c:v>209.88333119895697</c:v>
                </c:pt>
                <c:pt idx="481">
                  <c:v>211.43649922103313</c:v>
                </c:pt>
                <c:pt idx="482">
                  <c:v>212.98573847294907</c:v>
                </c:pt>
                <c:pt idx="483">
                  <c:v>214.5311280721595</c:v>
                </c:pt>
                <c:pt idx="484">
                  <c:v>216.07274607225852</c:v>
                </c:pt>
                <c:pt idx="485">
                  <c:v>217.61066948897121</c:v>
                </c:pt>
                <c:pt idx="486">
                  <c:v>219.14497432527415</c:v>
                </c:pt>
                <c:pt idx="487">
                  <c:v>220.67573559565938</c:v>
                </c:pt>
                <c:pt idx="488">
                  <c:v>222.20302734955521</c:v>
                </c:pt>
                <c:pt idx="489">
                  <c:v>223.72692269391428</c:v>
                </c:pt>
                <c:pt idx="490">
                  <c:v>225.24749381497725</c:v>
                </c:pt>
                <c:pt idx="491">
                  <c:v>226.76481199921852</c:v>
                </c:pt>
                <c:pt idx="492">
                  <c:v>228.27894765347699</c:v>
                </c:pt>
                <c:pt idx="493">
                  <c:v>229.78997032427264</c:v>
                </c:pt>
                <c:pt idx="494">
                  <c:v>231.2979487163071</c:v>
                </c:pt>
                <c:pt idx="495">
                  <c:v>232.80295071014234</c:v>
                </c:pt>
                <c:pt idx="496">
                  <c:v>234.30504337904938</c:v>
                </c:pt>
                <c:pt idx="497">
                  <c:v>235.80429300501402</c:v>
                </c:pt>
                <c:pt idx="498">
                  <c:v>237.30076509388371</c:v>
                </c:pt>
                <c:pt idx="499">
                  <c:v>238.7945243896344</c:v>
                </c:pt>
                <c:pt idx="500">
                  <c:v>240.28563488773162</c:v>
                </c:pt>
                <c:pt idx="501">
                  <c:v>241.77415984755467</c:v>
                </c:pt>
                <c:pt idx="502">
                  <c:v>243.26016180384681</c:v>
                </c:pt>
                <c:pt idx="503">
                  <c:v>244.7437025771471</c:v>
                </c:pt>
                <c:pt idx="504">
                  <c:v>246.2248432831525</c:v>
                </c:pt>
                <c:pt idx="505">
                  <c:v>247.70364434095018</c:v>
                </c:pt>
                <c:pt idx="506">
                  <c:v>249.18016548005008</c:v>
                </c:pt>
                <c:pt idx="507">
                  <c:v>250.65446574613722</c:v>
                </c:pt>
                <c:pt idx="508">
                  <c:v>252.12660350545062</c:v>
                </c:pt>
                <c:pt idx="509">
                  <c:v>253.59663644768196</c:v>
                </c:pt>
                <c:pt idx="510">
                  <c:v>255.0646215872712</c:v>
                </c:pt>
                <c:pt idx="511">
                  <c:v>256.53061526295778</c:v>
                </c:pt>
                <c:pt idx="512">
                  <c:v>257.99467313542584</c:v>
                </c:pt>
                <c:pt idx="513">
                  <c:v>259.45685018285843</c:v>
                </c:pt>
                <c:pt idx="514">
                  <c:v>260.91720069418835</c:v>
                </c:pt>
                <c:pt idx="515">
                  <c:v>262.37577825980281</c:v>
                </c:pt>
                <c:pt idx="516">
                  <c:v>263.83263575942453</c:v>
                </c:pt>
                <c:pt idx="517">
                  <c:v>265.28782534685206</c:v>
                </c:pt>
                <c:pt idx="518">
                  <c:v>266.74139843119787</c:v>
                </c:pt>
                <c:pt idx="519">
                  <c:v>268.19340565421095</c:v>
                </c:pt>
                <c:pt idx="520">
                  <c:v>269.64389686321636</c:v>
                </c:pt>
                <c:pt idx="521">
                  <c:v>271.09292107913922</c:v>
                </c:pt>
                <c:pt idx="522">
                  <c:v>272.54052645901385</c:v>
                </c:pt>
                <c:pt idx="523">
                  <c:v>273.98676025230367</c:v>
                </c:pt>
                <c:pt idx="524">
                  <c:v>275.43166875027987</c:v>
                </c:pt>
                <c:pt idx="525">
                  <c:v>276.87529722762849</c:v>
                </c:pt>
                <c:pt idx="526">
                  <c:v>278.31768987537907</c:v>
                </c:pt>
                <c:pt idx="527">
                  <c:v>279.75888972418329</c:v>
                </c:pt>
                <c:pt idx="528">
                  <c:v>281.19893855692675</c:v>
                </c:pt>
                <c:pt idx="529">
                  <c:v>282.63787680964612</c:v>
                </c:pt>
                <c:pt idx="530">
                  <c:v>284.07574345976872</c:v>
                </c:pt>
                <c:pt idx="531">
                  <c:v>285.51257590081565</c:v>
                </c:pt>
                <c:pt idx="532">
                  <c:v>286.94840980294765</c:v>
                </c:pt>
                <c:pt idx="533">
                  <c:v>288.38327895912283</c:v>
                </c:pt>
                <c:pt idx="534">
                  <c:v>289.81721511721713</c:v>
                </c:pt>
                <c:pt idx="535">
                  <c:v>291.25024779927071</c:v>
                </c:pt>
                <c:pt idx="536">
                  <c:v>292.6824041100877</c:v>
                </c:pt>
                <c:pt idx="537">
                  <c:v>294.11370853872307</c:v>
                </c:pt>
                <c:pt idx="538">
                  <c:v>295.54418275787901</c:v>
                </c:pt>
                <c:pt idx="539">
                  <c:v>296.97384542777468</c:v>
                </c:pt>
                <c:pt idx="540">
                  <c:v>298.4027120124386</c:v>
                </c:pt>
                <c:pt idx="541">
                  <c:v>299.83079461732979</c:v>
                </c:pt>
                <c:pt idx="542">
                  <c:v>301.25810185743023</c:v>
                </c:pt>
                <c:pt idx="543">
                  <c:v>302.68463876422726</c:v>
                </c:pt>
                <c:pt idx="544">
                  <c:v>304.11040673822663</c:v>
                </c:pt>
                <c:pt idx="545">
                  <c:v>305.53540355092559</c:v>
                </c:pt>
                <c:pt idx="546">
                  <c:v>306.95962339686605</c:v>
                </c:pt>
                <c:pt idx="547">
                  <c:v>308.3830569929803</c:v>
                </c:pt>
                <c:pt idx="548">
                  <c:v>309.80569171945507</c:v>
                </c:pt>
                <c:pt idx="549">
                  <c:v>311.22751179418839</c:v>
                </c:pt>
                <c:pt idx="550">
                  <c:v>312.64849847179971</c:v>
                </c:pt>
                <c:pt idx="551">
                  <c:v>314.0686302580628</c:v>
                </c:pt>
                <c:pt idx="552">
                  <c:v>315.48788313136282</c:v>
                </c:pt>
                <c:pt idx="553">
                  <c:v>316.90623076405427</c:v>
                </c:pt>
                <c:pt idx="554">
                  <c:v>318.32364473812117</c:v>
                </c:pt>
                <c:pt idx="555">
                  <c:v>319.74009475108301</c:v>
                </c:pt>
                <c:pt idx="556">
                  <c:v>321.15554880948389</c:v>
                </c:pt>
                <c:pt idx="557">
                  <c:v>322.56997340846823</c:v>
                </c:pt>
                <c:pt idx="558">
                  <c:v>323.98333369685326</c:v>
                </c:pt>
                <c:pt idx="559">
                  <c:v>325.39559362777578</c:v>
                </c:pt>
                <c:pt idx="560">
                  <c:v>326.80671609544459</c:v>
                </c:pt>
                <c:pt idx="561">
                  <c:v>328.21666305881848</c:v>
                </c:pt>
                <c:pt idx="562">
                  <c:v>329.625395653189</c:v>
                </c:pt>
                <c:pt idx="563">
                  <c:v>331.03287429071486</c:v>
                </c:pt>
                <c:pt idx="564">
                  <c:v>332.43905875095828</c:v>
                </c:pt>
                <c:pt idx="565">
                  <c:v>333.84390826243674</c:v>
                </c:pt>
                <c:pt idx="566">
                  <c:v>335.24738157614178</c:v>
                </c:pt>
                <c:pt idx="567">
                  <c:v>336.64943703190039</c:v>
                </c:pt>
                <c:pt idx="568">
                  <c:v>338.05003261837527</c:v>
                </c:pt>
                <c:pt idx="569">
                  <c:v>339.4491260274196</c:v>
                </c:pt>
                <c:pt idx="570">
                  <c:v>340.84667470342407</c:v>
                </c:pt>
                <c:pt idx="571">
                  <c:v>342.24263588822419</c:v>
                </c:pt>
                <c:pt idx="572">
                  <c:v>343.63696666206755</c:v>
                </c:pt>
                <c:pt idx="573">
                  <c:v>345.02962398108417</c:v>
                </c:pt>
                <c:pt idx="574">
                  <c:v>346.42056471164705</c:v>
                </c:pt>
                <c:pt idx="575">
                  <c:v>347.80974566196613</c:v>
                </c:pt>
                <c:pt idx="576">
                  <c:v>349.19712361121447</c:v>
                </c:pt>
                <c:pt idx="577">
                  <c:v>350.58265533645061</c:v>
                </c:pt>
                <c:pt idx="578">
                  <c:v>351.96629763756908</c:v>
                </c:pt>
                <c:pt idx="579">
                  <c:v>353.34800736048152</c:v>
                </c:pt>
                <c:pt idx="580">
                  <c:v>354.72774141870826</c:v>
                </c:pt>
                <c:pt idx="581">
                  <c:v>356.10545681353727</c:v>
                </c:pt>
                <c:pt idx="582">
                  <c:v>357.48111065288975</c:v>
                </c:pt>
                <c:pt idx="583">
                  <c:v>358.85466016901427</c:v>
                </c:pt>
                <c:pt idx="584">
                  <c:v>360.22606273511803</c:v>
                </c:pt>
                <c:pt idx="585">
                  <c:v>361.59527588103106</c:v>
                </c:pt>
                <c:pt idx="586">
                  <c:v>362.96225730798722</c:v>
                </c:pt>
                <c:pt idx="587">
                  <c:v>364.32696490259843</c:v>
                </c:pt>
                <c:pt idx="588">
                  <c:v>365.68935675008771</c:v>
                </c:pt>
                <c:pt idx="589">
                  <c:v>367.04939114684095</c:v>
                </c:pt>
                <c:pt idx="590">
                  <c:v>368.4070266123303</c:v>
                </c:pt>
                <c:pt idx="591">
                  <c:v>369.76222190045604</c:v>
                </c:pt>
                <c:pt idx="592">
                  <c:v>371.11493601034942</c:v>
                </c:pt>
                <c:pt idx="593">
                  <c:v>372.4651281966739</c:v>
                </c:pt>
                <c:pt idx="594">
                  <c:v>373.81275797945847</c:v>
                </c:pt>
                <c:pt idx="595">
                  <c:v>375.15778515349371</c:v>
                </c:pt>
                <c:pt idx="596">
                  <c:v>376.50016979731748</c:v>
                </c:pt>
                <c:pt idx="597">
                  <c:v>377.83987228181491</c:v>
                </c:pt>
                <c:pt idx="598">
                  <c:v>379.17685327845459</c:v>
                </c:pt>
                <c:pt idx="599">
                  <c:v>380.51107376718113</c:v>
                </c:pt>
                <c:pt idx="600">
                  <c:v>381.84249504398178</c:v>
                </c:pt>
                <c:pt idx="601">
                  <c:v>383.17107872814375</c:v>
                </c:pt>
                <c:pt idx="602">
                  <c:v>384.4967867692169</c:v>
                </c:pt>
                <c:pt idx="603">
                  <c:v>385.81958145369504</c:v>
                </c:pt>
                <c:pt idx="604">
                  <c:v>387.13942541142814</c:v>
                </c:pt>
                <c:pt idx="605">
                  <c:v>388.45628162177701</c:v>
                </c:pt>
                <c:pt idx="606">
                  <c:v>389.77011341951976</c:v>
                </c:pt>
                <c:pt idx="607">
                  <c:v>391.08088450052026</c:v>
                </c:pt>
                <c:pt idx="608">
                  <c:v>392.38855892716617</c:v>
                </c:pt>
                <c:pt idx="609">
                  <c:v>393.69310113358546</c:v>
                </c:pt>
                <c:pt idx="610">
                  <c:v>394.9944759306473</c:v>
                </c:pt>
                <c:pt idx="611">
                  <c:v>396.29264851075516</c:v>
                </c:pt>
                <c:pt idx="612">
                  <c:v>397.58758445243757</c:v>
                </c:pt>
                <c:pt idx="613">
                  <c:v>398.87924972474195</c:v>
                </c:pt>
                <c:pt idx="614">
                  <c:v>400.16761069143786</c:v>
                </c:pt>
                <c:pt idx="615">
                  <c:v>401.45263411503299</c:v>
                </c:pt>
                <c:pt idx="616">
                  <c:v>402.73428716060795</c:v>
                </c:pt>
                <c:pt idx="617">
                  <c:v>404.01253739947316</c:v>
                </c:pt>
                <c:pt idx="618">
                  <c:v>405.28735281265199</c:v>
                </c:pt>
                <c:pt idx="619">
                  <c:v>406.55870179419423</c:v>
                </c:pt>
                <c:pt idx="620">
                  <c:v>407.82655315432311</c:v>
                </c:pt>
                <c:pt idx="621">
                  <c:v>409.09087612241916</c:v>
                </c:pt>
                <c:pt idx="622">
                  <c:v>410.35164034984433</c:v>
                </c:pt>
                <c:pt idx="623">
                  <c:v>411.60881591260926</c:v>
                </c:pt>
                <c:pt idx="624">
                  <c:v>412.86237331388634</c:v>
                </c:pt>
                <c:pt idx="625">
                  <c:v>414.11228348637161</c:v>
                </c:pt>
                <c:pt idx="626">
                  <c:v>415.35851779449803</c:v>
                </c:pt>
                <c:pt idx="627">
                  <c:v>416.60104803650233</c:v>
                </c:pt>
                <c:pt idx="628">
                  <c:v>417.83984644634847</c:v>
                </c:pt>
                <c:pt idx="629">
                  <c:v>419.07488569550941</c:v>
                </c:pt>
                <c:pt idx="630">
                  <c:v>420.30613889460989</c:v>
                </c:pt>
                <c:pt idx="631">
                  <c:v>421.53357959493229</c:v>
                </c:pt>
                <c:pt idx="632">
                  <c:v>422.75718178978769</c:v>
                </c:pt>
                <c:pt idx="633">
                  <c:v>423.97691991575419</c:v>
                </c:pt>
                <c:pt idx="634">
                  <c:v>425.19276885378468</c:v>
                </c:pt>
                <c:pt idx="635">
                  <c:v>426.40470393018592</c:v>
                </c:pt>
                <c:pt idx="636">
                  <c:v>427.61270091747099</c:v>
                </c:pt>
                <c:pt idx="637">
                  <c:v>428.81673603508727</c:v>
                </c:pt>
                <c:pt idx="638">
                  <c:v>430.01678595002119</c:v>
                </c:pt>
                <c:pt idx="639">
                  <c:v>431.21282777728243</c:v>
                </c:pt>
                <c:pt idx="640">
                  <c:v>432.40483908026897</c:v>
                </c:pt>
                <c:pt idx="641">
                  <c:v>433.59279787101508</c:v>
                </c:pt>
                <c:pt idx="642">
                  <c:v>434.7766826103238</c:v>
                </c:pt>
                <c:pt idx="643">
                  <c:v>435.95647220778619</c:v>
                </c:pt>
                <c:pt idx="644">
                  <c:v>437.13214602168853</c:v>
                </c:pt>
                <c:pt idx="645">
                  <c:v>438.30368385880996</c:v>
                </c:pt>
                <c:pt idx="646">
                  <c:v>439.47106597411192</c:v>
                </c:pt>
                <c:pt idx="647">
                  <c:v>440.63427307032129</c:v>
                </c:pt>
                <c:pt idx="648">
                  <c:v>441.79328629740894</c:v>
                </c:pt>
                <c:pt idx="649">
                  <c:v>442.94808725196566</c:v>
                </c:pt>
                <c:pt idx="650">
                  <c:v>444.09865797647706</c:v>
                </c:pt>
                <c:pt idx="651">
                  <c:v>445.24498095849924</c:v>
                </c:pt>
                <c:pt idx="652">
                  <c:v>446.38703912973727</c:v>
                </c:pt>
                <c:pt idx="653">
                  <c:v>447.52481586502756</c:v>
                </c:pt>
                <c:pt idx="654">
                  <c:v>448.65829498122679</c:v>
                </c:pt>
                <c:pt idx="655">
                  <c:v>449.78746073600848</c:v>
                </c:pt>
                <c:pt idx="656">
                  <c:v>450.91229782656916</c:v>
                </c:pt>
                <c:pt idx="657">
                  <c:v>452.03279138824598</c:v>
                </c:pt>
                <c:pt idx="658">
                  <c:v>453.1489269930475</c:v>
                </c:pt>
                <c:pt idx="659">
                  <c:v>454.26069064809923</c:v>
                </c:pt>
                <c:pt idx="660">
                  <c:v>455.36806879400615</c:v>
                </c:pt>
                <c:pt idx="661">
                  <c:v>456.47104830313305</c:v>
                </c:pt>
                <c:pt idx="662">
                  <c:v>457.56961647780565</c:v>
                </c:pt>
                <c:pt idx="663">
                  <c:v>458.66376104843329</c:v>
                </c:pt>
                <c:pt idx="664">
                  <c:v>459.75347017155514</c:v>
                </c:pt>
                <c:pt idx="665">
                  <c:v>460.83873242781209</c:v>
                </c:pt>
                <c:pt idx="666">
                  <c:v>461.91953681984569</c:v>
                </c:pt>
                <c:pt idx="667">
                  <c:v>462.99587277012574</c:v>
                </c:pt>
                <c:pt idx="668">
                  <c:v>464.06773011870882</c:v>
                </c:pt>
                <c:pt idx="669">
                  <c:v>465.13509912092877</c:v>
                </c:pt>
                <c:pt idx="670">
                  <c:v>466.1979704450215</c:v>
                </c:pt>
                <c:pt idx="671">
                  <c:v>467.25633516968549</c:v>
                </c:pt>
                <c:pt idx="672">
                  <c:v>468.31018478157961</c:v>
                </c:pt>
                <c:pt idx="673">
                  <c:v>469.35951117276039</c:v>
                </c:pt>
                <c:pt idx="674">
                  <c:v>470.40430663805989</c:v>
                </c:pt>
                <c:pt idx="675">
                  <c:v>471.44456387240638</c:v>
                </c:pt>
                <c:pt idx="676">
                  <c:v>472.48027596808913</c:v>
                </c:pt>
                <c:pt idx="677">
                  <c:v>473.51143641196921</c:v>
                </c:pt>
                <c:pt idx="678">
                  <c:v>474.53803908263785</c:v>
                </c:pt>
                <c:pt idx="679">
                  <c:v>475.56007824752402</c:v>
                </c:pt>
                <c:pt idx="680">
                  <c:v>476.57754855995302</c:v>
                </c:pt>
                <c:pt idx="681">
                  <c:v>477.59044505615759</c:v>
                </c:pt>
                <c:pt idx="682">
                  <c:v>478.59876315224324</c:v>
                </c:pt>
                <c:pt idx="683">
                  <c:v>479.60249864110926</c:v>
                </c:pt>
                <c:pt idx="684">
                  <c:v>480.60164768932719</c:v>
                </c:pt>
                <c:pt idx="685">
                  <c:v>481.59620683397844</c:v>
                </c:pt>
                <c:pt idx="686">
                  <c:v>482.58617297945216</c:v>
                </c:pt>
                <c:pt idx="687">
                  <c:v>483.57154339420572</c:v>
                </c:pt>
                <c:pt idx="688">
                  <c:v>484.55231570748845</c:v>
                </c:pt>
                <c:pt idx="689">
                  <c:v>485.52848790603099</c:v>
                </c:pt>
                <c:pt idx="690">
                  <c:v>486.50005833070117</c:v>
                </c:pt>
                <c:pt idx="691">
                  <c:v>487.46702567312832</c:v>
                </c:pt>
                <c:pt idx="692">
                  <c:v>488.42938897229737</c:v>
                </c:pt>
                <c:pt idx="693">
                  <c:v>489.38714761111419</c:v>
                </c:pt>
                <c:pt idx="694">
                  <c:v>490.34030131294372</c:v>
                </c:pt>
                <c:pt idx="695">
                  <c:v>491.28885013812226</c:v>
                </c:pt>
                <c:pt idx="696">
                  <c:v>492.23279448044542</c:v>
                </c:pt>
                <c:pt idx="697">
                  <c:v>493.17213506363316</c:v>
                </c:pt>
                <c:pt idx="698">
                  <c:v>494.10687293777323</c:v>
                </c:pt>
                <c:pt idx="699">
                  <c:v>495.03700947574453</c:v>
                </c:pt>
                <c:pt idx="700">
                  <c:v>495.96254636962158</c:v>
                </c:pt>
                <c:pt idx="701">
                  <c:v>496.88348562706159</c:v>
                </c:pt>
                <c:pt idx="702">
                  <c:v>497.79982956767549</c:v>
                </c:pt>
                <c:pt idx="703">
                  <c:v>498.7115808193841</c:v>
                </c:pt>
                <c:pt idx="704">
                  <c:v>499.61874231476082</c:v>
                </c:pt>
                <c:pt idx="705">
                  <c:v>500.52131728736208</c:v>
                </c:pt>
                <c:pt idx="706">
                  <c:v>501.41930926804685</c:v>
                </c:pt>
                <c:pt idx="707">
                  <c:v>502.31272208128627</c:v>
                </c:pt>
                <c:pt idx="708">
                  <c:v>503.20155984146504</c:v>
                </c:pt>
                <c:pt idx="709">
                  <c:v>504.08582694917527</c:v>
                </c:pt>
                <c:pt idx="710">
                  <c:v>504.96552808750425</c:v>
                </c:pt>
                <c:pt idx="711">
                  <c:v>505.84066821831721</c:v>
                </c:pt>
                <c:pt idx="712">
                  <c:v>506.71125257853629</c:v>
                </c:pt>
                <c:pt idx="713">
                  <c:v>507.5772866764168</c:v>
                </c:pt>
                <c:pt idx="714">
                  <c:v>508.43877628782172</c:v>
                </c:pt>
                <c:pt idx="715">
                  <c:v>509.29572745249578</c:v>
                </c:pt>
                <c:pt idx="716">
                  <c:v>510.14814647033984</c:v>
                </c:pt>
                <c:pt idx="717">
                  <c:v>510.99603989768713</c:v>
                </c:pt>
                <c:pt idx="718">
                  <c:v>511.83941454358177</c:v>
                </c:pt>
                <c:pt idx="719">
                  <c:v>512.67827746606088</c:v>
                </c:pt>
                <c:pt idx="720">
                  <c:v>513.51263596844126</c:v>
                </c:pt>
                <c:pt idx="721">
                  <c:v>514.34249759561158</c:v>
                </c:pt>
                <c:pt idx="722">
                  <c:v>515.16787013033081</c:v>
                </c:pt>
                <c:pt idx="723">
                  <c:v>515.98876158953419</c:v>
                </c:pt>
                <c:pt idx="724">
                  <c:v>516.80518022064712</c:v>
                </c:pt>
                <c:pt idx="725">
                  <c:v>517.61713449790852</c:v>
                </c:pt>
                <c:pt idx="726">
                  <c:v>518.4246331187037</c:v>
                </c:pt>
                <c:pt idx="727">
                  <c:v>519.22768499990821</c:v>
                </c:pt>
                <c:pt idx="728">
                  <c:v>520.02629927424312</c:v>
                </c:pt>
                <c:pt idx="729">
                  <c:v>520.82048528664291</c:v>
                </c:pt>
                <c:pt idx="730">
                  <c:v>521.61025259063615</c:v>
                </c:pt>
                <c:pt idx="731">
                  <c:v>522.39561094474038</c:v>
                </c:pt>
                <c:pt idx="732">
                  <c:v>523.17657030887131</c:v>
                </c:pt>
                <c:pt idx="733">
                  <c:v>523.95314084076733</c:v>
                </c:pt>
                <c:pt idx="734">
                  <c:v>524.72533289243029</c:v>
                </c:pt>
                <c:pt idx="735">
                  <c:v>525.49315700658269</c:v>
                </c:pt>
                <c:pt idx="736">
                  <c:v>526.25662391314222</c:v>
                </c:pt>
                <c:pt idx="737">
                  <c:v>527.01574452571413</c:v>
                </c:pt>
                <c:pt idx="738">
                  <c:v>527.77052993810264</c:v>
                </c:pt>
                <c:pt idx="739">
                  <c:v>528.5209914208408</c:v>
                </c:pt>
                <c:pt idx="740">
                  <c:v>529.26714041774051</c:v>
                </c:pt>
                <c:pt idx="741">
                  <c:v>530.00898854246282</c:v>
                </c:pt>
                <c:pt idx="742">
                  <c:v>530.74654757510882</c:v>
                </c:pt>
                <c:pt idx="743">
                  <c:v>531.47982945883177</c:v>
                </c:pt>
                <c:pt idx="744">
                  <c:v>532.20884629647139</c:v>
                </c:pt>
                <c:pt idx="745">
                  <c:v>532.93361034721033</c:v>
                </c:pt>
                <c:pt idx="746">
                  <c:v>533.65413402325316</c:v>
                </c:pt>
                <c:pt idx="747">
                  <c:v>534.37042988652877</c:v>
                </c:pt>
                <c:pt idx="748">
                  <c:v>535.08251064541639</c:v>
                </c:pt>
                <c:pt idx="749">
                  <c:v>535.79038915149567</c:v>
                </c:pt>
                <c:pt idx="750">
                  <c:v>536.49407839632113</c:v>
                </c:pt>
                <c:pt idx="751">
                  <c:v>537.1935915082214</c:v>
                </c:pt>
                <c:pt idx="752">
                  <c:v>537.88894174912377</c:v>
                </c:pt>
                <c:pt idx="753">
                  <c:v>538.58014251140389</c:v>
                </c:pt>
                <c:pt idx="754">
                  <c:v>539.267207314762</c:v>
                </c:pt>
                <c:pt idx="755">
                  <c:v>539.267207314762</c:v>
                </c:pt>
                <c:pt idx="756">
                  <c:v>539.267207314762</c:v>
                </c:pt>
                <c:pt idx="757">
                  <c:v>539.267207314762</c:v>
                </c:pt>
                <c:pt idx="758">
                  <c:v>539.267207314762</c:v>
                </c:pt>
                <c:pt idx="759">
                  <c:v>539.267207314762</c:v>
                </c:pt>
                <c:pt idx="760">
                  <c:v>539.267207314762</c:v>
                </c:pt>
                <c:pt idx="761">
                  <c:v>539.267207314762</c:v>
                </c:pt>
                <c:pt idx="762">
                  <c:v>539.267207314762</c:v>
                </c:pt>
                <c:pt idx="763">
                  <c:v>539.267207314762</c:v>
                </c:pt>
                <c:pt idx="764">
                  <c:v>539.267207314762</c:v>
                </c:pt>
                <c:pt idx="765">
                  <c:v>539.267207314762</c:v>
                </c:pt>
                <c:pt idx="766">
                  <c:v>539.267207314762</c:v>
                </c:pt>
                <c:pt idx="767">
                  <c:v>539.267207314762</c:v>
                </c:pt>
                <c:pt idx="768">
                  <c:v>539.267207314762</c:v>
                </c:pt>
                <c:pt idx="769">
                  <c:v>539.267207314762</c:v>
                </c:pt>
                <c:pt idx="770">
                  <c:v>539.267207314762</c:v>
                </c:pt>
                <c:pt idx="771">
                  <c:v>539.267207314762</c:v>
                </c:pt>
                <c:pt idx="772">
                  <c:v>539.267207314762</c:v>
                </c:pt>
                <c:pt idx="773">
                  <c:v>539.267207314762</c:v>
                </c:pt>
                <c:pt idx="774">
                  <c:v>539.267207314762</c:v>
                </c:pt>
                <c:pt idx="775">
                  <c:v>539.267207314762</c:v>
                </c:pt>
                <c:pt idx="776">
                  <c:v>539.267207314762</c:v>
                </c:pt>
                <c:pt idx="777">
                  <c:v>539.267207314762</c:v>
                </c:pt>
                <c:pt idx="778">
                  <c:v>539.267207314762</c:v>
                </c:pt>
                <c:pt idx="779">
                  <c:v>539.267207314762</c:v>
                </c:pt>
                <c:pt idx="780">
                  <c:v>539.267207314762</c:v>
                </c:pt>
                <c:pt idx="781">
                  <c:v>539.267207314762</c:v>
                </c:pt>
                <c:pt idx="782">
                  <c:v>539.267207314762</c:v>
                </c:pt>
                <c:pt idx="783">
                  <c:v>539.267207314762</c:v>
                </c:pt>
                <c:pt idx="784">
                  <c:v>539.267207314762</c:v>
                </c:pt>
                <c:pt idx="785">
                  <c:v>539.267207314762</c:v>
                </c:pt>
                <c:pt idx="786">
                  <c:v>539.267207314762</c:v>
                </c:pt>
                <c:pt idx="787">
                  <c:v>539.267207314762</c:v>
                </c:pt>
                <c:pt idx="788">
                  <c:v>539.267207314762</c:v>
                </c:pt>
                <c:pt idx="789">
                  <c:v>539.267207314762</c:v>
                </c:pt>
                <c:pt idx="790">
                  <c:v>539.267207314762</c:v>
                </c:pt>
                <c:pt idx="791">
                  <c:v>539.267207314762</c:v>
                </c:pt>
                <c:pt idx="792">
                  <c:v>539.267207314762</c:v>
                </c:pt>
                <c:pt idx="793">
                  <c:v>539.267207314762</c:v>
                </c:pt>
                <c:pt idx="794">
                  <c:v>539.267207314762</c:v>
                </c:pt>
                <c:pt idx="795">
                  <c:v>539.267207314762</c:v>
                </c:pt>
                <c:pt idx="796">
                  <c:v>539.267207314762</c:v>
                </c:pt>
                <c:pt idx="797">
                  <c:v>539.267207314762</c:v>
                </c:pt>
                <c:pt idx="798">
                  <c:v>539.267207314762</c:v>
                </c:pt>
                <c:pt idx="799">
                  <c:v>539.267207314762</c:v>
                </c:pt>
                <c:pt idx="800">
                  <c:v>539.267207314762</c:v>
                </c:pt>
                <c:pt idx="801">
                  <c:v>539.267207314762</c:v>
                </c:pt>
                <c:pt idx="802">
                  <c:v>539.267207314762</c:v>
                </c:pt>
                <c:pt idx="803">
                  <c:v>539.267207314762</c:v>
                </c:pt>
                <c:pt idx="804">
                  <c:v>539.267207314762</c:v>
                </c:pt>
                <c:pt idx="805">
                  <c:v>539.267207314762</c:v>
                </c:pt>
                <c:pt idx="806">
                  <c:v>539.267207314762</c:v>
                </c:pt>
                <c:pt idx="807">
                  <c:v>539.267207314762</c:v>
                </c:pt>
                <c:pt idx="808">
                  <c:v>539.267207314762</c:v>
                </c:pt>
                <c:pt idx="809">
                  <c:v>539.267207314762</c:v>
                </c:pt>
                <c:pt idx="810">
                  <c:v>539.267207314762</c:v>
                </c:pt>
                <c:pt idx="811">
                  <c:v>539.267207314762</c:v>
                </c:pt>
                <c:pt idx="812">
                  <c:v>539.267207314762</c:v>
                </c:pt>
                <c:pt idx="813">
                  <c:v>539.267207314762</c:v>
                </c:pt>
                <c:pt idx="814">
                  <c:v>539.267207314762</c:v>
                </c:pt>
                <c:pt idx="815">
                  <c:v>539.267207314762</c:v>
                </c:pt>
                <c:pt idx="816">
                  <c:v>539.267207314762</c:v>
                </c:pt>
                <c:pt idx="817">
                  <c:v>539.267207314762</c:v>
                </c:pt>
                <c:pt idx="818">
                  <c:v>539.267207314762</c:v>
                </c:pt>
                <c:pt idx="819">
                  <c:v>539.267207314762</c:v>
                </c:pt>
                <c:pt idx="820">
                  <c:v>539.267207314762</c:v>
                </c:pt>
                <c:pt idx="821">
                  <c:v>539.267207314762</c:v>
                </c:pt>
                <c:pt idx="822">
                  <c:v>539.267207314762</c:v>
                </c:pt>
                <c:pt idx="823">
                  <c:v>539.267207314762</c:v>
                </c:pt>
                <c:pt idx="824">
                  <c:v>539.267207314762</c:v>
                </c:pt>
                <c:pt idx="825">
                  <c:v>539.267207314762</c:v>
                </c:pt>
                <c:pt idx="826">
                  <c:v>539.267207314762</c:v>
                </c:pt>
                <c:pt idx="827">
                  <c:v>539.267207314762</c:v>
                </c:pt>
                <c:pt idx="828">
                  <c:v>539.267207314762</c:v>
                </c:pt>
                <c:pt idx="829">
                  <c:v>539.267207314762</c:v>
                </c:pt>
                <c:pt idx="830">
                  <c:v>539.267207314762</c:v>
                </c:pt>
                <c:pt idx="831">
                  <c:v>539.267207314762</c:v>
                </c:pt>
                <c:pt idx="832">
                  <c:v>539.267207314762</c:v>
                </c:pt>
                <c:pt idx="833">
                  <c:v>539.267207314762</c:v>
                </c:pt>
                <c:pt idx="834">
                  <c:v>539.267207314762</c:v>
                </c:pt>
                <c:pt idx="835">
                  <c:v>539.267207314762</c:v>
                </c:pt>
                <c:pt idx="836">
                  <c:v>539.267207314762</c:v>
                </c:pt>
                <c:pt idx="837">
                  <c:v>539.267207314762</c:v>
                </c:pt>
                <c:pt idx="838">
                  <c:v>539.267207314762</c:v>
                </c:pt>
                <c:pt idx="839">
                  <c:v>539.267207314762</c:v>
                </c:pt>
                <c:pt idx="840">
                  <c:v>539.267207314762</c:v>
                </c:pt>
                <c:pt idx="841">
                  <c:v>539.267207314762</c:v>
                </c:pt>
                <c:pt idx="842">
                  <c:v>539.267207314762</c:v>
                </c:pt>
                <c:pt idx="843">
                  <c:v>539.267207314762</c:v>
                </c:pt>
                <c:pt idx="844">
                  <c:v>539.267207314762</c:v>
                </c:pt>
                <c:pt idx="845">
                  <c:v>539.267207314762</c:v>
                </c:pt>
                <c:pt idx="846">
                  <c:v>539.267207314762</c:v>
                </c:pt>
                <c:pt idx="847">
                  <c:v>539.267207314762</c:v>
                </c:pt>
                <c:pt idx="848">
                  <c:v>539.267207314762</c:v>
                </c:pt>
                <c:pt idx="849">
                  <c:v>539.267207314762</c:v>
                </c:pt>
                <c:pt idx="850">
                  <c:v>539.267207314762</c:v>
                </c:pt>
                <c:pt idx="851">
                  <c:v>539.267207314762</c:v>
                </c:pt>
                <c:pt idx="852">
                  <c:v>539.267207314762</c:v>
                </c:pt>
                <c:pt idx="853">
                  <c:v>539.267207314762</c:v>
                </c:pt>
                <c:pt idx="854">
                  <c:v>539.267207314762</c:v>
                </c:pt>
                <c:pt idx="855">
                  <c:v>539.267207314762</c:v>
                </c:pt>
                <c:pt idx="856">
                  <c:v>539.267207314762</c:v>
                </c:pt>
                <c:pt idx="857">
                  <c:v>539.267207314762</c:v>
                </c:pt>
                <c:pt idx="858">
                  <c:v>539.267207314762</c:v>
                </c:pt>
                <c:pt idx="859">
                  <c:v>539.267207314762</c:v>
                </c:pt>
                <c:pt idx="860">
                  <c:v>539.267207314762</c:v>
                </c:pt>
                <c:pt idx="861">
                  <c:v>539.267207314762</c:v>
                </c:pt>
                <c:pt idx="862">
                  <c:v>539.267207314762</c:v>
                </c:pt>
                <c:pt idx="863">
                  <c:v>539.267207314762</c:v>
                </c:pt>
                <c:pt idx="864">
                  <c:v>539.267207314762</c:v>
                </c:pt>
                <c:pt idx="865">
                  <c:v>539.267207314762</c:v>
                </c:pt>
                <c:pt idx="866">
                  <c:v>539.267207314762</c:v>
                </c:pt>
                <c:pt idx="867">
                  <c:v>539.267207314762</c:v>
                </c:pt>
                <c:pt idx="868">
                  <c:v>539.267207314762</c:v>
                </c:pt>
                <c:pt idx="869">
                  <c:v>539.267207314762</c:v>
                </c:pt>
                <c:pt idx="870">
                  <c:v>539.267207314762</c:v>
                </c:pt>
                <c:pt idx="871">
                  <c:v>539.267207314762</c:v>
                </c:pt>
                <c:pt idx="872">
                  <c:v>539.267207314762</c:v>
                </c:pt>
                <c:pt idx="873">
                  <c:v>539.267207314762</c:v>
                </c:pt>
                <c:pt idx="874">
                  <c:v>539.267207314762</c:v>
                </c:pt>
                <c:pt idx="875">
                  <c:v>539.267207314762</c:v>
                </c:pt>
                <c:pt idx="876">
                  <c:v>539.267207314762</c:v>
                </c:pt>
                <c:pt idx="877">
                  <c:v>539.267207314762</c:v>
                </c:pt>
                <c:pt idx="878">
                  <c:v>539.267207314762</c:v>
                </c:pt>
                <c:pt idx="879">
                  <c:v>539.267207314762</c:v>
                </c:pt>
                <c:pt idx="880">
                  <c:v>539.267207314762</c:v>
                </c:pt>
                <c:pt idx="881">
                  <c:v>539.267207314762</c:v>
                </c:pt>
                <c:pt idx="882">
                  <c:v>539.267207314762</c:v>
                </c:pt>
                <c:pt idx="883">
                  <c:v>539.267207314762</c:v>
                </c:pt>
                <c:pt idx="884">
                  <c:v>539.267207314762</c:v>
                </c:pt>
                <c:pt idx="885">
                  <c:v>539.267207314762</c:v>
                </c:pt>
                <c:pt idx="886">
                  <c:v>539.267207314762</c:v>
                </c:pt>
                <c:pt idx="887">
                  <c:v>539.267207314762</c:v>
                </c:pt>
                <c:pt idx="888">
                  <c:v>539.267207314762</c:v>
                </c:pt>
                <c:pt idx="889">
                  <c:v>539.267207314762</c:v>
                </c:pt>
                <c:pt idx="890">
                  <c:v>539.267207314762</c:v>
                </c:pt>
                <c:pt idx="891">
                  <c:v>539.267207314762</c:v>
                </c:pt>
                <c:pt idx="892">
                  <c:v>539.267207314762</c:v>
                </c:pt>
                <c:pt idx="893">
                  <c:v>539.267207314762</c:v>
                </c:pt>
                <c:pt idx="894">
                  <c:v>539.267207314762</c:v>
                </c:pt>
                <c:pt idx="895">
                  <c:v>539.267207314762</c:v>
                </c:pt>
                <c:pt idx="896">
                  <c:v>539.267207314762</c:v>
                </c:pt>
                <c:pt idx="897">
                  <c:v>539.267207314762</c:v>
                </c:pt>
                <c:pt idx="898">
                  <c:v>539.267207314762</c:v>
                </c:pt>
                <c:pt idx="899">
                  <c:v>539.267207314762</c:v>
                </c:pt>
                <c:pt idx="900">
                  <c:v>539.267207314762</c:v>
                </c:pt>
                <c:pt idx="901">
                  <c:v>539.267207314762</c:v>
                </c:pt>
                <c:pt idx="902">
                  <c:v>539.267207314762</c:v>
                </c:pt>
                <c:pt idx="903">
                  <c:v>539.267207314762</c:v>
                </c:pt>
                <c:pt idx="904">
                  <c:v>539.267207314762</c:v>
                </c:pt>
                <c:pt idx="905">
                  <c:v>539.267207314762</c:v>
                </c:pt>
                <c:pt idx="906">
                  <c:v>539.267207314762</c:v>
                </c:pt>
                <c:pt idx="907">
                  <c:v>539.267207314762</c:v>
                </c:pt>
                <c:pt idx="908">
                  <c:v>539.267207314762</c:v>
                </c:pt>
                <c:pt idx="909">
                  <c:v>539.267207314762</c:v>
                </c:pt>
                <c:pt idx="910">
                  <c:v>539.267207314762</c:v>
                </c:pt>
                <c:pt idx="911">
                  <c:v>539.267207314762</c:v>
                </c:pt>
                <c:pt idx="912">
                  <c:v>539.267207314762</c:v>
                </c:pt>
                <c:pt idx="913">
                  <c:v>539.267207314762</c:v>
                </c:pt>
                <c:pt idx="914">
                  <c:v>539.267207314762</c:v>
                </c:pt>
                <c:pt idx="915">
                  <c:v>539.267207314762</c:v>
                </c:pt>
                <c:pt idx="916">
                  <c:v>539.267207314762</c:v>
                </c:pt>
                <c:pt idx="917">
                  <c:v>539.267207314762</c:v>
                </c:pt>
                <c:pt idx="918">
                  <c:v>539.267207314762</c:v>
                </c:pt>
                <c:pt idx="919">
                  <c:v>539.267207314762</c:v>
                </c:pt>
                <c:pt idx="920">
                  <c:v>539.267207314762</c:v>
                </c:pt>
                <c:pt idx="921">
                  <c:v>539.267207314762</c:v>
                </c:pt>
                <c:pt idx="922">
                  <c:v>539.267207314762</c:v>
                </c:pt>
                <c:pt idx="923">
                  <c:v>539.267207314762</c:v>
                </c:pt>
                <c:pt idx="924">
                  <c:v>539.267207314762</c:v>
                </c:pt>
                <c:pt idx="925">
                  <c:v>539.267207314762</c:v>
                </c:pt>
                <c:pt idx="926">
                  <c:v>539.267207314762</c:v>
                </c:pt>
                <c:pt idx="927">
                  <c:v>539.267207314762</c:v>
                </c:pt>
                <c:pt idx="928">
                  <c:v>539.267207314762</c:v>
                </c:pt>
                <c:pt idx="929">
                  <c:v>539.267207314762</c:v>
                </c:pt>
                <c:pt idx="930">
                  <c:v>539.267207314762</c:v>
                </c:pt>
                <c:pt idx="931">
                  <c:v>539.267207314762</c:v>
                </c:pt>
                <c:pt idx="932">
                  <c:v>539.267207314762</c:v>
                </c:pt>
                <c:pt idx="933">
                  <c:v>539.267207314762</c:v>
                </c:pt>
                <c:pt idx="934">
                  <c:v>539.267207314762</c:v>
                </c:pt>
                <c:pt idx="935">
                  <c:v>539.267207314762</c:v>
                </c:pt>
                <c:pt idx="936">
                  <c:v>539.267207314762</c:v>
                </c:pt>
                <c:pt idx="937">
                  <c:v>539.267207314762</c:v>
                </c:pt>
                <c:pt idx="938">
                  <c:v>539.267207314762</c:v>
                </c:pt>
                <c:pt idx="939">
                  <c:v>539.267207314762</c:v>
                </c:pt>
                <c:pt idx="940">
                  <c:v>539.267207314762</c:v>
                </c:pt>
                <c:pt idx="941">
                  <c:v>539.267207314762</c:v>
                </c:pt>
                <c:pt idx="942">
                  <c:v>539.267207314762</c:v>
                </c:pt>
                <c:pt idx="943">
                  <c:v>539.267207314762</c:v>
                </c:pt>
                <c:pt idx="944">
                  <c:v>539.267207314762</c:v>
                </c:pt>
                <c:pt idx="945">
                  <c:v>539.267207314762</c:v>
                </c:pt>
                <c:pt idx="946">
                  <c:v>539.267207314762</c:v>
                </c:pt>
                <c:pt idx="947">
                  <c:v>539.267207314762</c:v>
                </c:pt>
                <c:pt idx="948">
                  <c:v>539.267207314762</c:v>
                </c:pt>
                <c:pt idx="949">
                  <c:v>539.267207314762</c:v>
                </c:pt>
                <c:pt idx="950">
                  <c:v>539.267207314762</c:v>
                </c:pt>
                <c:pt idx="951">
                  <c:v>539.267207314762</c:v>
                </c:pt>
                <c:pt idx="952">
                  <c:v>539.267207314762</c:v>
                </c:pt>
                <c:pt idx="953">
                  <c:v>539.267207314762</c:v>
                </c:pt>
                <c:pt idx="954">
                  <c:v>539.267207314762</c:v>
                </c:pt>
                <c:pt idx="955">
                  <c:v>539.267207314762</c:v>
                </c:pt>
                <c:pt idx="956">
                  <c:v>539.267207314762</c:v>
                </c:pt>
                <c:pt idx="957">
                  <c:v>539.267207314762</c:v>
                </c:pt>
                <c:pt idx="958">
                  <c:v>539.267207314762</c:v>
                </c:pt>
                <c:pt idx="959">
                  <c:v>539.267207314762</c:v>
                </c:pt>
                <c:pt idx="960">
                  <c:v>539.267207314762</c:v>
                </c:pt>
                <c:pt idx="961">
                  <c:v>539.267207314762</c:v>
                </c:pt>
                <c:pt idx="962">
                  <c:v>539.267207314762</c:v>
                </c:pt>
                <c:pt idx="963">
                  <c:v>539.267207314762</c:v>
                </c:pt>
                <c:pt idx="964">
                  <c:v>539.267207314762</c:v>
                </c:pt>
                <c:pt idx="965">
                  <c:v>539.267207314762</c:v>
                </c:pt>
                <c:pt idx="966">
                  <c:v>539.267207314762</c:v>
                </c:pt>
                <c:pt idx="967">
                  <c:v>539.267207314762</c:v>
                </c:pt>
                <c:pt idx="968">
                  <c:v>539.267207314762</c:v>
                </c:pt>
                <c:pt idx="969">
                  <c:v>539.267207314762</c:v>
                </c:pt>
                <c:pt idx="970">
                  <c:v>539.267207314762</c:v>
                </c:pt>
                <c:pt idx="971">
                  <c:v>539.267207314762</c:v>
                </c:pt>
                <c:pt idx="972">
                  <c:v>539.267207314762</c:v>
                </c:pt>
                <c:pt idx="973">
                  <c:v>539.267207314762</c:v>
                </c:pt>
                <c:pt idx="974">
                  <c:v>539.267207314762</c:v>
                </c:pt>
                <c:pt idx="975">
                  <c:v>539.267207314762</c:v>
                </c:pt>
                <c:pt idx="976">
                  <c:v>539.267207314762</c:v>
                </c:pt>
                <c:pt idx="977">
                  <c:v>539.267207314762</c:v>
                </c:pt>
                <c:pt idx="978">
                  <c:v>539.267207314762</c:v>
                </c:pt>
                <c:pt idx="979">
                  <c:v>539.267207314762</c:v>
                </c:pt>
                <c:pt idx="980">
                  <c:v>539.267207314762</c:v>
                </c:pt>
                <c:pt idx="981">
                  <c:v>539.267207314762</c:v>
                </c:pt>
                <c:pt idx="982">
                  <c:v>539.267207314762</c:v>
                </c:pt>
                <c:pt idx="983">
                  <c:v>539.267207314762</c:v>
                </c:pt>
                <c:pt idx="984">
                  <c:v>539.267207314762</c:v>
                </c:pt>
                <c:pt idx="985">
                  <c:v>539.267207314762</c:v>
                </c:pt>
                <c:pt idx="986">
                  <c:v>539.267207314762</c:v>
                </c:pt>
                <c:pt idx="987">
                  <c:v>539.267207314762</c:v>
                </c:pt>
                <c:pt idx="988">
                  <c:v>539.267207314762</c:v>
                </c:pt>
                <c:pt idx="989">
                  <c:v>539.267207314762</c:v>
                </c:pt>
                <c:pt idx="990">
                  <c:v>539.267207314762</c:v>
                </c:pt>
                <c:pt idx="991">
                  <c:v>539.267207314762</c:v>
                </c:pt>
                <c:pt idx="992">
                  <c:v>539.267207314762</c:v>
                </c:pt>
                <c:pt idx="993">
                  <c:v>539.267207314762</c:v>
                </c:pt>
                <c:pt idx="994">
                  <c:v>539.267207314762</c:v>
                </c:pt>
                <c:pt idx="995">
                  <c:v>539.267207314762</c:v>
                </c:pt>
                <c:pt idx="996">
                  <c:v>539.267207314762</c:v>
                </c:pt>
                <c:pt idx="997">
                  <c:v>539.267207314762</c:v>
                </c:pt>
                <c:pt idx="998">
                  <c:v>539.267207314762</c:v>
                </c:pt>
                <c:pt idx="999">
                  <c:v>539.267207314762</c:v>
                </c:pt>
                <c:pt idx="1000">
                  <c:v>539.267207314762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1676.0501140492172</c:v>
                </c:pt>
                <c:pt idx="579">
                  <c:v>1672.5498772558487</c:v>
                </c:pt>
                <c:pt idx="580">
                  <c:v>1668.9565461588081</c:v>
                </c:pt>
                <c:pt idx="581">
                  <c:v>1665.2703732140496</c:v>
                </c:pt>
                <c:pt idx="582">
                  <c:v>1661.491616921179</c:v>
                </c:pt>
                <c:pt idx="583">
                  <c:v>1657.6205417708159</c:v>
                </c:pt>
                <c:pt idx="584">
                  <c:v>1653.6574181902931</c:v>
                </c:pt>
                <c:pt idx="585">
                  <c:v>1649.6025224877774</c:v>
                </c:pt>
                <c:pt idx="586">
                  <c:v>1645.4561367948838</c:v>
                </c:pt>
                <c:pt idx="587">
                  <c:v>1641.2185490078584</c:v>
                </c:pt>
                <c:pt idx="588">
                  <c:v>1636.8900527273881</c:v>
                </c:pt>
                <c:pt idx="589">
                  <c:v>1632.4709471971014</c:v>
                </c:pt>
                <c:pt idx="590">
                  <c:v>1627.9615372408105</c:v>
                </c:pt>
                <c:pt idx="591">
                  <c:v>1623.362133198551</c:v>
                </c:pt>
                <c:pt idx="592">
                  <c:v>1618.6730508614653</c:v>
                </c:pt>
                <c:pt idx="593">
                  <c:v>1613.8946114055764</c:v>
                </c:pt>
                <c:pt idx="594">
                  <c:v>1609.027141324498</c:v>
                </c:pt>
                <c:pt idx="595">
                  <c:v>1604.0709723611224</c:v>
                </c:pt>
                <c:pt idx="596">
                  <c:v>1599.0264414383273</c:v>
                </c:pt>
                <c:pt idx="597">
                  <c:v>1593.8938905887414</c:v>
                </c:pt>
                <c:pt idx="598">
                  <c:v>1588.6736668836077</c:v>
                </c:pt>
                <c:pt idx="599">
                  <c:v>1583.3661223607819</c:v>
                </c:pt>
                <c:pt idx="600">
                  <c:v>1577.9716139519039</c:v>
                </c:pt>
                <c:pt idx="601">
                  <c:v>1572.490503408776</c:v>
                </c:pt>
                <c:pt idx="602">
                  <c:v>1566.9231572289857</c:v>
                </c:pt>
                <c:pt idx="603">
                  <c:v>1561.2699465808071</c:v>
                </c:pt>
                <c:pt idx="604">
                  <c:v>1555.5312472274147</c:v>
                </c:pt>
                <c:pt idx="605">
                  <c:v>1549.7074394504455</c:v>
                </c:pt>
                <c:pt idx="606">
                  <c:v>1543.7989079729393</c:v>
                </c:pt>
                <c:pt idx="607">
                  <c:v>1537.8060418816954</c:v>
                </c:pt>
                <c:pt idx="608">
                  <c:v>1531.729234549073</c:v>
                </c:pt>
                <c:pt idx="609">
                  <c:v>1525.568883554273</c:v>
                </c:pt>
                <c:pt idx="610">
                  <c:v>1519.3253906041291</c:v>
                </c:pt>
                <c:pt idx="611">
                  <c:v>1512.9991614534433</c:v>
                </c:pt>
                <c:pt idx="612">
                  <c:v>1506.590605824895</c:v>
                </c:pt>
                <c:pt idx="613">
                  <c:v>1500.1001373285574</c:v>
                </c:pt>
                <c:pt idx="614">
                  <c:v>1493.5281733810496</c:v>
                </c:pt>
                <c:pt idx="615">
                  <c:v>1486.8751351243586</c:v>
                </c:pt>
                <c:pt idx="616">
                  <c:v>1480.1414473443585</c:v>
                </c:pt>
                <c:pt idx="617">
                  <c:v>1473.3275383890591</c:v>
                </c:pt>
                <c:pt idx="618">
                  <c:v>1466.4338400866138</c:v>
                </c:pt>
                <c:pt idx="619">
                  <c:v>1459.4607876631162</c:v>
                </c:pt>
                <c:pt idx="620">
                  <c:v>1452.4088196602154</c:v>
                </c:pt>
                <c:pt idx="621">
                  <c:v>1445.2783778525786</c:v>
                </c:pt>
                <c:pt idx="622">
                  <c:v>1438.0699071652305</c:v>
                </c:pt>
                <c:pt idx="623">
                  <c:v>1430.7838555907986</c:v>
                </c:pt>
                <c:pt idx="624">
                  <c:v>1423.4206741066916</c:v>
                </c:pt>
                <c:pt idx="625">
                  <c:v>1415.98081659224</c:v>
                </c:pt>
                <c:pt idx="626">
                  <c:v>1408.4647397458264</c:v>
                </c:pt>
                <c:pt idx="627">
                  <c:v>1400.8729030020334</c:v>
                </c:pt>
                <c:pt idx="628">
                  <c:v>1393.205768448835</c:v>
                </c:pt>
                <c:pt idx="629">
                  <c:v>1385.46380074486</c:v>
                </c:pt>
                <c:pt idx="630">
                  <c:v>1377.6474670367525</c:v>
                </c:pt>
                <c:pt idx="631">
                  <c:v>1369.7572368766569</c:v>
                </c:pt>
                <c:pt idx="632">
                  <c:v>1361.7935821398512</c:v>
                </c:pt>
                <c:pt idx="633">
                  <c:v>1353.7569769425572</c:v>
                </c:pt>
                <c:pt idx="634">
                  <c:v>1345.6478975599487</c:v>
                </c:pt>
                <c:pt idx="635">
                  <c:v>1337.4668223443855</c:v>
                </c:pt>
                <c:pt idx="636">
                  <c:v>1329.2142316438969</c:v>
                </c:pt>
                <c:pt idx="637">
                  <c:v>1320.8906077209367</c:v>
                </c:pt>
                <c:pt idx="638">
                  <c:v>1312.4964346714348</c:v>
                </c:pt>
                <c:pt idx="639">
                  <c:v>1304.0321983441695</c:v>
                </c:pt>
                <c:pt idx="640">
                  <c:v>1295.4983862604802</c:v>
                </c:pt>
                <c:pt idx="641">
                  <c:v>1286.8954875343447</c:v>
                </c:pt>
                <c:pt idx="642">
                  <c:v>1278.2239927928438</c:v>
                </c:pt>
                <c:pt idx="643">
                  <c:v>1269.4843940970311</c:v>
                </c:pt>
                <c:pt idx="644">
                  <c:v>1260.6771848632334</c:v>
                </c:pt>
                <c:pt idx="645">
                  <c:v>1251.8028597847979</c:v>
                </c:pt>
                <c:pt idx="646">
                  <c:v>1242.8619147543097</c:v>
                </c:pt>
                <c:pt idx="647">
                  <c:v>1233.8548467862972</c:v>
                </c:pt>
                <c:pt idx="648">
                  <c:v>1224.7821539404447</c:v>
                </c:pt>
                <c:pt idx="649">
                  <c:v>1215.6443352453314</c:v>
                </c:pt>
                <c:pt idx="650">
                  <c:v>1206.4418906227152</c:v>
                </c:pt>
                <c:pt idx="651">
                  <c:v>1197.1753208123778</c:v>
                </c:pt>
                <c:pt idx="652">
                  <c:v>1187.8451272975499</c:v>
                </c:pt>
                <c:pt idx="653">
                  <c:v>1178.4518122309316</c:v>
                </c:pt>
                <c:pt idx="654">
                  <c:v>1168.9958783613265</c:v>
                </c:pt>
                <c:pt idx="655">
                  <c:v>1159.4778289609026</c:v>
                </c:pt>
                <c:pt idx="656">
                  <c:v>1149.8981677530976</c:v>
                </c:pt>
                <c:pt idx="657">
                  <c:v>1140.2573988411832</c:v>
                </c:pt>
                <c:pt idx="658">
                  <c:v>1130.5560266375005</c:v>
                </c:pt>
                <c:pt idx="659">
                  <c:v>1120.7945557933838</c:v>
                </c:pt>
                <c:pt idx="660">
                  <c:v>1110.973491129784</c:v>
                </c:pt>
                <c:pt idx="661">
                  <c:v>1101.093337568605</c:v>
                </c:pt>
                <c:pt idx="662">
                  <c:v>1091.1546000647654</c:v>
                </c:pt>
                <c:pt idx="663">
                  <c:v>1081.1577835389985</c:v>
                </c:pt>
                <c:pt idx="664">
                  <c:v>1071.1033928114002</c:v>
                </c:pt>
                <c:pt idx="665">
                  <c:v>1060.9919325357382</c:v>
                </c:pt>
                <c:pt idx="666">
                  <c:v>1050.8239071345313</c:v>
                </c:pt>
                <c:pt idx="667">
                  <c:v>1040.5998207349087</c:v>
                </c:pt>
                <c:pt idx="668">
                  <c:v>1030.3201771052607</c:v>
                </c:pt>
                <c:pt idx="669">
                  <c:v>1019.985479592688</c:v>
                </c:pt>
                <c:pt idx="670">
                  <c:v>1009.5962310612599</c:v>
                </c:pt>
                <c:pt idx="671">
                  <c:v>999.15293383108769</c:v>
                </c:pt>
                <c:pt idx="672">
                  <c:v>988.65608961822284</c:v>
                </c:pt>
                <c:pt idx="673">
                  <c:v>978.10619947538635</c:v>
                </c:pt>
                <c:pt idx="674">
                  <c:v>967.50376373353618</c:v>
                </c:pt>
                <c:pt idx="675">
                  <c:v>956.84928194427926</c:v>
                </c:pt>
                <c:pt idx="676">
                  <c:v>946.14325282313382</c:v>
                </c:pt>
                <c:pt idx="677">
                  <c:v>935.38617419364789</c:v>
                </c:pt>
                <c:pt idx="678">
                  <c:v>924.57854293237881</c:v>
                </c:pt>
                <c:pt idx="679">
                  <c:v>913.7208549147382</c:v>
                </c:pt>
                <c:pt idx="680">
                  <c:v>902.81360496170691</c:v>
                </c:pt>
                <c:pt idx="681">
                  <c:v>891.85728678742407</c:v>
                </c:pt>
                <c:pt idx="682">
                  <c:v>880.85239294765222</c:v>
                </c:pt>
                <c:pt idx="683">
                  <c:v>869.79941478912338</c:v>
                </c:pt>
                <c:pt idx="684">
                  <c:v>858.69884239976716</c:v>
                </c:pt>
                <c:pt idx="685">
                  <c:v>847.55116455982375</c:v>
                </c:pt>
                <c:pt idx="686">
                  <c:v>836.35686869384358</c:v>
                </c:pt>
                <c:pt idx="687">
                  <c:v>825.11644082357418</c:v>
                </c:pt>
                <c:pt idx="688">
                  <c:v>813.83036552173689</c:v>
                </c:pt>
                <c:pt idx="689">
                  <c:v>802.49912586669234</c:v>
                </c:pt>
                <c:pt idx="690">
                  <c:v>791.12320339799601</c:v>
                </c:pt>
                <c:pt idx="691">
                  <c:v>779.70307807284337</c:v>
                </c:pt>
                <c:pt idx="692">
                  <c:v>768.23922822340421</c:v>
                </c:pt>
                <c:pt idx="693">
                  <c:v>756.73213051504592</c:v>
                </c:pt>
                <c:pt idx="694">
                  <c:v>745.18225990544306</c:v>
                </c:pt>
                <c:pt idx="695">
                  <c:v>733.59008960457379</c:v>
                </c:pt>
                <c:pt idx="696">
                  <c:v>721.9560910355998</c:v>
                </c:pt>
                <c:pt idx="697">
                  <c:v>710.28073379662828</c:v>
                </c:pt>
                <c:pt idx="698">
                  <c:v>698.56448562335356</c:v>
                </c:pt>
                <c:pt idx="699">
                  <c:v>686.8078123525753</c:v>
                </c:pt>
                <c:pt idx="700">
                  <c:v>675.01117788659064</c:v>
                </c:pt>
                <c:pt idx="701">
                  <c:v>663.17504415845667</c:v>
                </c:pt>
                <c:pt idx="702">
                  <c:v>651.29987109812009</c:v>
                </c:pt>
                <c:pt idx="703">
                  <c:v>639.38611659940921</c:v>
                </c:pt>
                <c:pt idx="704">
                  <c:v>627.43423648788576</c:v>
                </c:pt>
                <c:pt idx="705">
                  <c:v>615.44468448955035</c:v>
                </c:pt>
                <c:pt idx="706">
                  <c:v>603.41791220039818</c:v>
                </c:pt>
                <c:pt idx="707">
                  <c:v>591.35436905681945</c:v>
                </c:pt>
                <c:pt idx="708">
                  <c:v>579.25450230683987</c:v>
                </c:pt>
                <c:pt idx="709">
                  <c:v>567.11875698219558</c:v>
                </c:pt>
                <c:pt idx="710">
                  <c:v>554.9475758712365</c:v>
                </c:pt>
                <c:pt idx="711">
                  <c:v>542.74139949265316</c:v>
                </c:pt>
                <c:pt idx="712">
                  <c:v>530.50066607002066</c:v>
                </c:pt>
                <c:pt idx="713">
                  <c:v>518.22581150715303</c:v>
                </c:pt>
                <c:pt idx="714">
                  <c:v>505.91726936426255</c:v>
                </c:pt>
                <c:pt idx="715">
                  <c:v>493.57547083491659</c:v>
                </c:pt>
                <c:pt idx="716">
                  <c:v>481.20084472378551</c:v>
                </c:pt>
                <c:pt idx="717">
                  <c:v>468.79381742517501</c:v>
                </c:pt>
                <c:pt idx="718">
                  <c:v>456.35481290233514</c:v>
                </c:pt>
                <c:pt idx="719">
                  <c:v>443.88425266753939</c:v>
                </c:pt>
                <c:pt idx="720">
                  <c:v>431.38255576292585</c:v>
                </c:pt>
                <c:pt idx="721">
                  <c:v>418.85013874209352</c:v>
                </c:pt>
                <c:pt idx="722">
                  <c:v>406.28741565244519</c:v>
                </c:pt>
                <c:pt idx="723">
                  <c:v>393.69479801827015</c:v>
                </c:pt>
                <c:pt idx="724">
                  <c:v>381.07269482455757</c:v>
                </c:pt>
                <c:pt idx="725">
                  <c:v>368.4215125015337</c:v>
                </c:pt>
                <c:pt idx="726">
                  <c:v>355.74165490991356</c:v>
                </c:pt>
                <c:pt idx="727">
                  <c:v>343.03352332685989</c:v>
                </c:pt>
                <c:pt idx="728">
                  <c:v>330.29751643263995</c:v>
                </c:pt>
                <c:pt idx="729">
                  <c:v>317.53403029797232</c:v>
                </c:pt>
                <c:pt idx="730">
                  <c:v>304.7434583720551</c:v>
                </c:pt>
                <c:pt idx="731">
                  <c:v>291.92619147126675</c:v>
                </c:pt>
                <c:pt idx="732">
                  <c:v>279.0826177685305</c:v>
                </c:pt>
                <c:pt idx="733">
                  <c:v>266.2131227833342</c:v>
                </c:pt>
                <c:pt idx="734">
                  <c:v>253.31808937239617</c:v>
                </c:pt>
                <c:pt idx="735">
                  <c:v>240.39789772096847</c:v>
                </c:pt>
                <c:pt idx="736">
                  <c:v>227.45292533476845</c:v>
                </c:pt>
                <c:pt idx="737">
                  <c:v>214.4835470325296</c:v>
                </c:pt>
                <c:pt idx="738">
                  <c:v>201.49013493916263</c:v>
                </c:pt>
                <c:pt idx="739">
                  <c:v>188.47305847951776</c:v>
                </c:pt>
                <c:pt idx="740">
                  <c:v>175.43268437273889</c:v>
                </c:pt>
                <c:pt idx="741">
                  <c:v>162.36937662720084</c:v>
                </c:pt>
                <c:pt idx="742">
                  <c:v>149.28349653601992</c:v>
                </c:pt>
                <c:pt idx="743">
                  <c:v>136.17540267312941</c:v>
                </c:pt>
                <c:pt idx="744">
                  <c:v>123.0454508899099</c:v>
                </c:pt>
                <c:pt idx="745">
                  <c:v>109.89399431236589</c:v>
                </c:pt>
                <c:pt idx="746">
                  <c:v>96.721383338839203</c:v>
                </c:pt>
                <c:pt idx="747">
                  <c:v>83.527965638249938</c:v>
                </c:pt>
                <c:pt idx="748">
                  <c:v>70.314086148855893</c:v>
                </c:pt>
                <c:pt idx="749">
                  <c:v>57.080087077521057</c:v>
                </c:pt>
                <c:pt idx="750">
                  <c:v>43.826307899484235</c:v>
                </c:pt>
                <c:pt idx="751">
                  <c:v>30.553085358618382</c:v>
                </c:pt>
                <c:pt idx="752">
                  <c:v>17.260753468171636</c:v>
                </c:pt>
                <c:pt idx="753">
                  <c:v>3.949643511980895</c:v>
                </c:pt>
                <c:pt idx="754">
                  <c:v>-9.3799159538512082</c:v>
                </c:pt>
                <c:pt idx="755">
                  <c:v>-9.3932546652544051</c:v>
                </c:pt>
                <c:pt idx="756">
                  <c:v>-9.406593394618886</c:v>
                </c:pt>
                <c:pt idx="757">
                  <c:v>-9.4199321419443311</c:v>
                </c:pt>
                <c:pt idx="758">
                  <c:v>-9.4332709072304173</c:v>
                </c:pt>
                <c:pt idx="759">
                  <c:v>-9.4466096904768246</c:v>
                </c:pt>
                <c:pt idx="760">
                  <c:v>-9.4599484916832317</c:v>
                </c:pt>
                <c:pt idx="761">
                  <c:v>-9.4732873108493187</c:v>
                </c:pt>
                <c:pt idx="762">
                  <c:v>-9.4866261479747624</c:v>
                </c:pt>
                <c:pt idx="763">
                  <c:v>-9.4999650030592431</c:v>
                </c:pt>
                <c:pt idx="764">
                  <c:v>-9.5133038761024391</c:v>
                </c:pt>
                <c:pt idx="765">
                  <c:v>-9.526642767104029</c:v>
                </c:pt>
                <c:pt idx="766">
                  <c:v>-9.5399816760636913</c:v>
                </c:pt>
                <c:pt idx="767">
                  <c:v>-9.5533206029811044</c:v>
                </c:pt>
                <c:pt idx="768">
                  <c:v>-9.5666595478559486</c:v>
                </c:pt>
                <c:pt idx="769">
                  <c:v>-9.5799985106879024</c:v>
                </c:pt>
                <c:pt idx="770">
                  <c:v>-9.5933374914766443</c:v>
                </c:pt>
                <c:pt idx="771">
                  <c:v>-9.6066764902218544</c:v>
                </c:pt>
                <c:pt idx="772">
                  <c:v>-9.6200155069232096</c:v>
                </c:pt>
                <c:pt idx="773">
                  <c:v>-9.6333545415803901</c:v>
                </c:pt>
                <c:pt idx="774">
                  <c:v>-9.6466935941930743</c:v>
                </c:pt>
                <c:pt idx="775">
                  <c:v>-9.6600326647609407</c:v>
                </c:pt>
                <c:pt idx="776">
                  <c:v>-9.6733717532836696</c:v>
                </c:pt>
                <c:pt idx="777">
                  <c:v>-9.6867108597609377</c:v>
                </c:pt>
                <c:pt idx="778">
                  <c:v>-9.7000499841924253</c:v>
                </c:pt>
                <c:pt idx="779">
                  <c:v>-9.7133891265778125</c:v>
                </c:pt>
                <c:pt idx="780">
                  <c:v>-9.7267282869167762</c:v>
                </c:pt>
                <c:pt idx="781">
                  <c:v>-9.7400674652089965</c:v>
                </c:pt>
                <c:pt idx="782">
                  <c:v>-9.7534066614541519</c:v>
                </c:pt>
                <c:pt idx="783">
                  <c:v>-9.766745875651921</c:v>
                </c:pt>
                <c:pt idx="784">
                  <c:v>-9.7800851078019821</c:v>
                </c:pt>
                <c:pt idx="785">
                  <c:v>-9.7934243579040157</c:v>
                </c:pt>
                <c:pt idx="786">
                  <c:v>-9.8067636259577</c:v>
                </c:pt>
                <c:pt idx="787">
                  <c:v>-9.8201029119627137</c:v>
                </c:pt>
                <c:pt idx="788">
                  <c:v>-9.8334422159187351</c:v>
                </c:pt>
                <c:pt idx="789">
                  <c:v>-9.8467815378254446</c:v>
                </c:pt>
                <c:pt idx="790">
                  <c:v>-9.8601208776825189</c:v>
                </c:pt>
                <c:pt idx="791">
                  <c:v>-9.8734602354896381</c:v>
                </c:pt>
                <c:pt idx="792">
                  <c:v>-9.8867996112464827</c:v>
                </c:pt>
                <c:pt idx="793">
                  <c:v>-9.9001390049527291</c:v>
                </c:pt>
                <c:pt idx="794">
                  <c:v>-9.9134784166080578</c:v>
                </c:pt>
                <c:pt idx="795">
                  <c:v>-9.9268178462121472</c:v>
                </c:pt>
                <c:pt idx="796">
                  <c:v>-9.9401572937646776</c:v>
                </c:pt>
                <c:pt idx="797">
                  <c:v>-9.9534967592653256</c:v>
                </c:pt>
                <c:pt idx="798">
                  <c:v>-9.9668362427137716</c:v>
                </c:pt>
                <c:pt idx="799">
                  <c:v>-9.9801757441096939</c:v>
                </c:pt>
                <c:pt idx="800">
                  <c:v>-9.9935152634527729</c:v>
                </c:pt>
                <c:pt idx="801">
                  <c:v>-10.006854800742685</c:v>
                </c:pt>
                <c:pt idx="802">
                  <c:v>-10.020194355979111</c:v>
                </c:pt>
                <c:pt idx="803">
                  <c:v>-10.033533929161731</c:v>
                </c:pt>
                <c:pt idx="804">
                  <c:v>-10.046873520290221</c:v>
                </c:pt>
                <c:pt idx="805">
                  <c:v>-10.060213129364262</c:v>
                </c:pt>
                <c:pt idx="806">
                  <c:v>-10.073552756383533</c:v>
                </c:pt>
                <c:pt idx="807">
                  <c:v>-10.086892401347711</c:v>
                </c:pt>
                <c:pt idx="808">
                  <c:v>-10.100232064256478</c:v>
                </c:pt>
                <c:pt idx="809">
                  <c:v>-10.11357174510951</c:v>
                </c:pt>
                <c:pt idx="810">
                  <c:v>-10.126911443906488</c:v>
                </c:pt>
                <c:pt idx="811">
                  <c:v>-10.14025116064709</c:v>
                </c:pt>
                <c:pt idx="812">
                  <c:v>-10.153590895330995</c:v>
                </c:pt>
                <c:pt idx="813">
                  <c:v>-10.166930647957882</c:v>
                </c:pt>
                <c:pt idx="814">
                  <c:v>-10.18027041852743</c:v>
                </c:pt>
                <c:pt idx="815">
                  <c:v>-10.193610207039319</c:v>
                </c:pt>
                <c:pt idx="816">
                  <c:v>-10.206950013493227</c:v>
                </c:pt>
                <c:pt idx="817">
                  <c:v>-10.220289837888833</c:v>
                </c:pt>
                <c:pt idx="818">
                  <c:v>-10.233629680225816</c:v>
                </c:pt>
                <c:pt idx="819">
                  <c:v>-10.246969540503855</c:v>
                </c:pt>
                <c:pt idx="820">
                  <c:v>-10.260309418722629</c:v>
                </c:pt>
                <c:pt idx="821">
                  <c:v>-10.273649314881817</c:v>
                </c:pt>
                <c:pt idx="822">
                  <c:v>-10.286989228981099</c:v>
                </c:pt>
                <c:pt idx="823">
                  <c:v>-10.300329161020153</c:v>
                </c:pt>
                <c:pt idx="824">
                  <c:v>-10.313669110998658</c:v>
                </c:pt>
                <c:pt idx="825">
                  <c:v>-10.327009078916292</c:v>
                </c:pt>
                <c:pt idx="826">
                  <c:v>-10.340349064772736</c:v>
                </c:pt>
                <c:pt idx="827">
                  <c:v>-10.353689068567668</c:v>
                </c:pt>
                <c:pt idx="828">
                  <c:v>-10.367029090300768</c:v>
                </c:pt>
                <c:pt idx="829">
                  <c:v>-10.380369129971715</c:v>
                </c:pt>
                <c:pt idx="830">
                  <c:v>-10.393709187580187</c:v>
                </c:pt>
                <c:pt idx="831">
                  <c:v>-10.407049263125863</c:v>
                </c:pt>
                <c:pt idx="832">
                  <c:v>-10.420389356608423</c:v>
                </c:pt>
                <c:pt idx="833">
                  <c:v>-10.433729468027545</c:v>
                </c:pt>
                <c:pt idx="834">
                  <c:v>-10.447069597382908</c:v>
                </c:pt>
                <c:pt idx="835">
                  <c:v>-10.460409744674191</c:v>
                </c:pt>
                <c:pt idx="836">
                  <c:v>-10.473749909901073</c:v>
                </c:pt>
                <c:pt idx="837">
                  <c:v>-10.487090093063236</c:v>
                </c:pt>
                <c:pt idx="838">
                  <c:v>-10.500430294160354</c:v>
                </c:pt>
                <c:pt idx="839">
                  <c:v>-10.51377051319211</c:v>
                </c:pt>
                <c:pt idx="840">
                  <c:v>-10.527110750158181</c:v>
                </c:pt>
                <c:pt idx="841">
                  <c:v>-10.540451005058248</c:v>
                </c:pt>
                <c:pt idx="842">
                  <c:v>-10.553791277891989</c:v>
                </c:pt>
                <c:pt idx="843">
                  <c:v>-10.567131568659082</c:v>
                </c:pt>
                <c:pt idx="844">
                  <c:v>-10.580471877359209</c:v>
                </c:pt>
                <c:pt idx="845">
                  <c:v>-10.593812203992044</c:v>
                </c:pt>
                <c:pt idx="846">
                  <c:v>-10.607152548557272</c:v>
                </c:pt>
                <c:pt idx="847">
                  <c:v>-10.620492911054567</c:v>
                </c:pt>
                <c:pt idx="848">
                  <c:v>-10.633833291483612</c:v>
                </c:pt>
                <c:pt idx="849">
                  <c:v>-10.647173689844083</c:v>
                </c:pt>
                <c:pt idx="850">
                  <c:v>-10.660514106135661</c:v>
                </c:pt>
                <c:pt idx="851">
                  <c:v>-10.673854540358025</c:v>
                </c:pt>
                <c:pt idx="852">
                  <c:v>-10.687194992510854</c:v>
                </c:pt>
                <c:pt idx="853">
                  <c:v>-10.700535462593827</c:v>
                </c:pt>
                <c:pt idx="854">
                  <c:v>-10.713875950606621</c:v>
                </c:pt>
                <c:pt idx="855">
                  <c:v>-10.727216456548918</c:v>
                </c:pt>
                <c:pt idx="856">
                  <c:v>-10.740556980420395</c:v>
                </c:pt>
                <c:pt idx="857">
                  <c:v>-10.753897522220733</c:v>
                </c:pt>
                <c:pt idx="858">
                  <c:v>-10.767238081949611</c:v>
                </c:pt>
                <c:pt idx="859">
                  <c:v>-10.780578659606705</c:v>
                </c:pt>
                <c:pt idx="860">
                  <c:v>-10.793919255191698</c:v>
                </c:pt>
                <c:pt idx="861">
                  <c:v>-10.807259868704268</c:v>
                </c:pt>
                <c:pt idx="862">
                  <c:v>-10.820600500144094</c:v>
                </c:pt>
                <c:pt idx="863">
                  <c:v>-10.833941149510855</c:v>
                </c:pt>
                <c:pt idx="864">
                  <c:v>-10.847281816804228</c:v>
                </c:pt>
                <c:pt idx="865">
                  <c:v>-10.860622502023896</c:v>
                </c:pt>
                <c:pt idx="866">
                  <c:v>-10.873963205169535</c:v>
                </c:pt>
                <c:pt idx="867">
                  <c:v>-10.887303926240826</c:v>
                </c:pt>
                <c:pt idx="868">
                  <c:v>-10.900644665237447</c:v>
                </c:pt>
                <c:pt idx="869">
                  <c:v>-10.913985422159078</c:v>
                </c:pt>
                <c:pt idx="870">
                  <c:v>-10.927326197005398</c:v>
                </c:pt>
                <c:pt idx="871">
                  <c:v>-10.940666989776085</c:v>
                </c:pt>
                <c:pt idx="872">
                  <c:v>-10.954007800470819</c:v>
                </c:pt>
                <c:pt idx="873">
                  <c:v>-10.96734862908928</c:v>
                </c:pt>
                <c:pt idx="874">
                  <c:v>-10.980689475631145</c:v>
                </c:pt>
                <c:pt idx="875">
                  <c:v>-10.994030340096096</c:v>
                </c:pt>
                <c:pt idx="876">
                  <c:v>-11.00737122248381</c:v>
                </c:pt>
                <c:pt idx="877">
                  <c:v>-11.020712122793967</c:v>
                </c:pt>
                <c:pt idx="878">
                  <c:v>-11.034053041026246</c:v>
                </c:pt>
                <c:pt idx="879">
                  <c:v>-11.047393977180326</c:v>
                </c:pt>
                <c:pt idx="880">
                  <c:v>-11.060734931255885</c:v>
                </c:pt>
                <c:pt idx="881">
                  <c:v>-11.074075903252604</c:v>
                </c:pt>
                <c:pt idx="882">
                  <c:v>-11.087416893170161</c:v>
                </c:pt>
                <c:pt idx="883">
                  <c:v>-11.100757901008237</c:v>
                </c:pt>
                <c:pt idx="884">
                  <c:v>-11.114098926766509</c:v>
                </c:pt>
                <c:pt idx="885">
                  <c:v>-11.127439970444657</c:v>
                </c:pt>
                <c:pt idx="886">
                  <c:v>-11.14078103204236</c:v>
                </c:pt>
                <c:pt idx="887">
                  <c:v>-11.154122111559298</c:v>
                </c:pt>
                <c:pt idx="888">
                  <c:v>-11.16746320899515</c:v>
                </c:pt>
                <c:pt idx="889">
                  <c:v>-11.180804324349594</c:v>
                </c:pt>
                <c:pt idx="890">
                  <c:v>-11.194145457622311</c:v>
                </c:pt>
                <c:pt idx="891">
                  <c:v>-11.207486608812978</c:v>
                </c:pt>
                <c:pt idx="892">
                  <c:v>-11.220827777921276</c:v>
                </c:pt>
                <c:pt idx="893">
                  <c:v>-11.234168964946884</c:v>
                </c:pt>
                <c:pt idx="894">
                  <c:v>-11.24751016988948</c:v>
                </c:pt>
                <c:pt idx="895">
                  <c:v>-11.260851392748744</c:v>
                </c:pt>
                <c:pt idx="896">
                  <c:v>-11.274192633524356</c:v>
                </c:pt>
                <c:pt idx="897">
                  <c:v>-11.287533892215993</c:v>
                </c:pt>
                <c:pt idx="898">
                  <c:v>-11.300875168823337</c:v>
                </c:pt>
                <c:pt idx="899">
                  <c:v>-11.314216463346066</c:v>
                </c:pt>
                <c:pt idx="900">
                  <c:v>-11.327557775783859</c:v>
                </c:pt>
                <c:pt idx="901">
                  <c:v>-11.340899106136394</c:v>
                </c:pt>
                <c:pt idx="902">
                  <c:v>-11.354240454403353</c:v>
                </c:pt>
                <c:pt idx="903">
                  <c:v>-11.367581820584414</c:v>
                </c:pt>
                <c:pt idx="904">
                  <c:v>-11.380923204679256</c:v>
                </c:pt>
                <c:pt idx="905">
                  <c:v>-11.394264606687557</c:v>
                </c:pt>
                <c:pt idx="906">
                  <c:v>-11.407606026608997</c:v>
                </c:pt>
                <c:pt idx="907">
                  <c:v>-11.420947464443257</c:v>
                </c:pt>
                <c:pt idx="908">
                  <c:v>-11.434288920190015</c:v>
                </c:pt>
                <c:pt idx="909">
                  <c:v>-11.44763039384895</c:v>
                </c:pt>
                <c:pt idx="910">
                  <c:v>-11.460971885419742</c:v>
                </c:pt>
                <c:pt idx="911">
                  <c:v>-11.474313394902069</c:v>
                </c:pt>
                <c:pt idx="912">
                  <c:v>-11.48765492229561</c:v>
                </c:pt>
                <c:pt idx="913">
                  <c:v>-11.500996467600045</c:v>
                </c:pt>
                <c:pt idx="914">
                  <c:v>-11.514338030815054</c:v>
                </c:pt>
                <c:pt idx="915">
                  <c:v>-11.527679611940316</c:v>
                </c:pt>
                <c:pt idx="916">
                  <c:v>-11.54102121097551</c:v>
                </c:pt>
                <c:pt idx="917">
                  <c:v>-11.554362827920315</c:v>
                </c:pt>
                <c:pt idx="918">
                  <c:v>-11.56770446277441</c:v>
                </c:pt>
                <c:pt idx="919">
                  <c:v>-11.581046115537475</c:v>
                </c:pt>
                <c:pt idx="920">
                  <c:v>-11.59438778620919</c:v>
                </c:pt>
                <c:pt idx="921">
                  <c:v>-11.607729474789233</c:v>
                </c:pt>
                <c:pt idx="922">
                  <c:v>-11.621071181277284</c:v>
                </c:pt>
                <c:pt idx="923">
                  <c:v>-11.63441290567302</c:v>
                </c:pt>
                <c:pt idx="924">
                  <c:v>-11.647754647976123</c:v>
                </c:pt>
                <c:pt idx="925">
                  <c:v>-11.661096408186271</c:v>
                </c:pt>
                <c:pt idx="926">
                  <c:v>-11.674438186303144</c:v>
                </c:pt>
                <c:pt idx="927">
                  <c:v>-11.68777998232642</c:v>
                </c:pt>
                <c:pt idx="928">
                  <c:v>-11.70112179625578</c:v>
                </c:pt>
                <c:pt idx="929">
                  <c:v>-11.714463628090902</c:v>
                </c:pt>
                <c:pt idx="930">
                  <c:v>-11.727805477831467</c:v>
                </c:pt>
                <c:pt idx="931">
                  <c:v>-11.741147345477152</c:v>
                </c:pt>
                <c:pt idx="932">
                  <c:v>-11.754489231027639</c:v>
                </c:pt>
                <c:pt idx="933">
                  <c:v>-11.767831134482606</c:v>
                </c:pt>
                <c:pt idx="934">
                  <c:v>-11.78117305584173</c:v>
                </c:pt>
                <c:pt idx="935">
                  <c:v>-11.794514995104693</c:v>
                </c:pt>
                <c:pt idx="936">
                  <c:v>-11.807856952271175</c:v>
                </c:pt>
                <c:pt idx="937">
                  <c:v>-11.821198927340854</c:v>
                </c:pt>
                <c:pt idx="938">
                  <c:v>-11.834540920313408</c:v>
                </c:pt>
                <c:pt idx="939">
                  <c:v>-11.847882931188519</c:v>
                </c:pt>
                <c:pt idx="940">
                  <c:v>-11.861224959965863</c:v>
                </c:pt>
                <c:pt idx="941">
                  <c:v>-11.874567006645123</c:v>
                </c:pt>
                <c:pt idx="942">
                  <c:v>-11.887909071225977</c:v>
                </c:pt>
                <c:pt idx="943">
                  <c:v>-11.901251153708102</c:v>
                </c:pt>
                <c:pt idx="944">
                  <c:v>-11.914593254091182</c:v>
                </c:pt>
                <c:pt idx="945">
                  <c:v>-11.927935372374893</c:v>
                </c:pt>
                <c:pt idx="946">
                  <c:v>-11.941277508558915</c:v>
                </c:pt>
                <c:pt idx="947">
                  <c:v>-11.954619662642928</c:v>
                </c:pt>
                <c:pt idx="948">
                  <c:v>-11.96796183462661</c:v>
                </c:pt>
                <c:pt idx="949">
                  <c:v>-11.98130402450964</c:v>
                </c:pt>
                <c:pt idx="950">
                  <c:v>-11.9946462322917</c:v>
                </c:pt>
                <c:pt idx="951">
                  <c:v>-12.007988457972466</c:v>
                </c:pt>
                <c:pt idx="952">
                  <c:v>-12.021330701551621</c:v>
                </c:pt>
                <c:pt idx="953">
                  <c:v>-12.034672963028841</c:v>
                </c:pt>
                <c:pt idx="954">
                  <c:v>-12.048015242403807</c:v>
                </c:pt>
                <c:pt idx="955">
                  <c:v>-12.061357539676198</c:v>
                </c:pt>
                <c:pt idx="956">
                  <c:v>-12.074699854845694</c:v>
                </c:pt>
                <c:pt idx="957">
                  <c:v>-12.088042187911974</c:v>
                </c:pt>
                <c:pt idx="958">
                  <c:v>-12.101384538874717</c:v>
                </c:pt>
                <c:pt idx="959">
                  <c:v>-12.114726907733603</c:v>
                </c:pt>
                <c:pt idx="960">
                  <c:v>-12.128069294488311</c:v>
                </c:pt>
                <c:pt idx="961">
                  <c:v>-12.141411699138521</c:v>
                </c:pt>
                <c:pt idx="962">
                  <c:v>-12.154754121683911</c:v>
                </c:pt>
                <c:pt idx="963">
                  <c:v>-12.168096562124163</c:v>
                </c:pt>
                <c:pt idx="964">
                  <c:v>-12.181439020458953</c:v>
                </c:pt>
                <c:pt idx="965">
                  <c:v>-12.194781496687963</c:v>
                </c:pt>
                <c:pt idx="966">
                  <c:v>-12.20812399081087</c:v>
                </c:pt>
                <c:pt idx="967">
                  <c:v>-12.221466502827356</c:v>
                </c:pt>
                <c:pt idx="968">
                  <c:v>-12.234809032737099</c:v>
                </c:pt>
                <c:pt idx="969">
                  <c:v>-12.248151580539778</c:v>
                </c:pt>
                <c:pt idx="970">
                  <c:v>-12.261494146235073</c:v>
                </c:pt>
                <c:pt idx="971">
                  <c:v>-12.274836729822663</c:v>
                </c:pt>
                <c:pt idx="972">
                  <c:v>-12.28817933130223</c:v>
                </c:pt>
                <c:pt idx="973">
                  <c:v>-12.30152195067345</c:v>
                </c:pt>
                <c:pt idx="974">
                  <c:v>-12.314864587936004</c:v>
                </c:pt>
                <c:pt idx="975">
                  <c:v>-12.328207243089571</c:v>
                </c:pt>
                <c:pt idx="976">
                  <c:v>-12.341549916133831</c:v>
                </c:pt>
                <c:pt idx="977">
                  <c:v>-12.354892607068463</c:v>
                </c:pt>
                <c:pt idx="978">
                  <c:v>-12.368235315893145</c:v>
                </c:pt>
                <c:pt idx="979">
                  <c:v>-12.381578042607558</c:v>
                </c:pt>
                <c:pt idx="980">
                  <c:v>-12.394920787211381</c:v>
                </c:pt>
                <c:pt idx="981">
                  <c:v>-12.408263549704294</c:v>
                </c:pt>
                <c:pt idx="982">
                  <c:v>-12.421606330085977</c:v>
                </c:pt>
                <c:pt idx="983">
                  <c:v>-12.434949128356108</c:v>
                </c:pt>
                <c:pt idx="984">
                  <c:v>-12.448291944514366</c:v>
                </c:pt>
                <c:pt idx="985">
                  <c:v>-12.461634778560434</c:v>
                </c:pt>
                <c:pt idx="986">
                  <c:v>-12.474977630493989</c:v>
                </c:pt>
                <c:pt idx="987">
                  <c:v>-12.488320500314709</c:v>
                </c:pt>
                <c:pt idx="988">
                  <c:v>-12.501663388022275</c:v>
                </c:pt>
                <c:pt idx="989">
                  <c:v>-12.515006293616366</c:v>
                </c:pt>
                <c:pt idx="990">
                  <c:v>-12.528349217096663</c:v>
                </c:pt>
                <c:pt idx="991">
                  <c:v>-12.541692158462842</c:v>
                </c:pt>
                <c:pt idx="992">
                  <c:v>-12.555035117714587</c:v>
                </c:pt>
                <c:pt idx="993">
                  <c:v>-12.568378094851573</c:v>
                </c:pt>
                <c:pt idx="994">
                  <c:v>-12.581721089873483</c:v>
                </c:pt>
                <c:pt idx="995">
                  <c:v>-12.595064102779995</c:v>
                </c:pt>
                <c:pt idx="996">
                  <c:v>-12.608407133570788</c:v>
                </c:pt>
                <c:pt idx="997">
                  <c:v>-12.621750182245542</c:v>
                </c:pt>
                <c:pt idx="998">
                  <c:v>-12.635093248803937</c:v>
                </c:pt>
                <c:pt idx="999">
                  <c:v>-12.648436333245652</c:v>
                </c:pt>
                <c:pt idx="1000">
                  <c:v>-12.661779435570367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02-4CA2-BA56-E0E46E48A268}"/>
            </c:ext>
          </c:extLst>
        </c:ser>
        <c:ser>
          <c:idx val="4"/>
          <c:order val="3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02-4CA2-BA56-E0E46E48A26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Trajecto!$B$140:$B$146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Trajecto!$C$138:$C$144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02-4CA2-BA56-E0E46E48A268}"/>
            </c:ext>
          </c:extLst>
        </c:ser>
        <c:ser>
          <c:idx val="5"/>
          <c:order val="4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6.7664209236084237E-6</c:v>
                </c:pt>
                <c:pt idx="2">
                  <c:v>1.2579820776912048E-4</c:v>
                </c:pt>
                <c:pt idx="3">
                  <c:v>5.5462205426296202E-4</c:v>
                </c:pt>
                <c:pt idx="4">
                  <c:v>1.4909211581924009E-3</c:v>
                </c:pt>
                <c:pt idx="5">
                  <c:v>3.1326012307218588E-3</c:v>
                </c:pt>
                <c:pt idx="6">
                  <c:v>5.627790690633197E-3</c:v>
                </c:pt>
                <c:pt idx="7">
                  <c:v>9.0247019151438023E-3</c:v>
                </c:pt>
                <c:pt idx="8">
                  <c:v>1.3321530870825743E-2</c:v>
                </c:pt>
                <c:pt idx="9">
                  <c:v>1.8516462908328316E-2</c:v>
                </c:pt>
                <c:pt idx="10">
                  <c:v>2.46076727961895E-2</c:v>
                </c:pt>
                <c:pt idx="11">
                  <c:v>3.1593324755105845E-2</c:v>
                </c:pt>
                <c:pt idx="12">
                  <c:v>3.9471572492657876E-2</c:v>
                </c:pt>
                <c:pt idx="13">
                  <c:v>4.8240559238488044E-2</c:v>
                </c:pt>
                <c:pt idx="14">
                  <c:v>5.7898417779928255E-2</c:v>
                </c:pt>
                <c:pt idx="15">
                  <c:v>6.844327049807386E-2</c:v>
                </c:pt>
                <c:pt idx="16">
                  <c:v>7.9873229404301069E-2</c:v>
                </c:pt>
                <c:pt idx="17">
                  <c:v>9.2186396177224586E-2</c:v>
                </c:pt>
                <c:pt idx="18">
                  <c:v>0.10538086220009237</c:v>
                </c:pt>
                <c:pt idx="19">
                  <c:v>0.11945470859861418</c:v>
                </c:pt>
                <c:pt idx="20">
                  <c:v>0.13440600627922072</c:v>
                </c:pt>
                <c:pt idx="21">
                  <c:v>0.15023281596775007</c:v>
                </c:pt>
                <c:pt idx="22">
                  <c:v>0.16693318824855788</c:v>
                </c:pt>
                <c:pt idx="23">
                  <c:v>0.18450516360404826</c:v>
                </c:pt>
                <c:pt idx="24">
                  <c:v>0.20294677245462159</c:v>
                </c:pt>
                <c:pt idx="25">
                  <c:v>0.22225603519903597</c:v>
                </c:pt>
                <c:pt idx="26">
                  <c:v>0.24243096225517877</c:v>
                </c:pt>
                <c:pt idx="27">
                  <c:v>0.26346955410124451</c:v>
                </c:pt>
                <c:pt idx="28">
                  <c:v>0.28536980131731599</c:v>
                </c:pt>
                <c:pt idx="29">
                  <c:v>0.30812968462734436</c:v>
                </c:pt>
                <c:pt idx="30">
                  <c:v>0.33174717494152495</c:v>
                </c:pt>
                <c:pt idx="31">
                  <c:v>0.35622023339906506</c:v>
                </c:pt>
                <c:pt idx="32">
                  <c:v>0.38158942169097881</c:v>
                </c:pt>
                <c:pt idx="33">
                  <c:v>0.40789681439170727</c:v>
                </c:pt>
                <c:pt idx="34">
                  <c:v>0.43514336195903242</c:v>
                </c:pt>
                <c:pt idx="35">
                  <c:v>0.46332993016305235</c:v>
                </c:pt>
                <c:pt idx="36">
                  <c:v>0.49245728127188809</c:v>
                </c:pt>
                <c:pt idx="37">
                  <c:v>0.52252607926967953</c:v>
                </c:pt>
                <c:pt idx="38">
                  <c:v>0.5535368946319088</c:v>
                </c:pt>
                <c:pt idx="39">
                  <c:v>0.58549020870772339</c:v>
                </c:pt>
                <c:pt idx="40">
                  <c:v>0.61838641775212522</c:v>
                </c:pt>
                <c:pt idx="41">
                  <c:v>0.65222583664517619</c:v>
                </c:pt>
                <c:pt idx="42">
                  <c:v>0.68700870233055022</c:v>
                </c:pt>
                <c:pt idx="43">
                  <c:v>0.72273517700167478</c:v>
                </c:pt>
                <c:pt idx="44">
                  <c:v>0.75940535106022522</c:v>
                </c:pt>
                <c:pt idx="45">
                  <c:v>0.79701924586875894</c:v>
                </c:pt>
                <c:pt idx="46">
                  <c:v>0.83557681631672132</c:v>
                </c:pt>
                <c:pt idx="47">
                  <c:v>0.875077953216851</c:v>
                </c:pt>
                <c:pt idx="48">
                  <c:v>0.91552248554710869</c:v>
                </c:pt>
                <c:pt idx="49">
                  <c:v>0.95691018255159643</c:v>
                </c:pt>
                <c:pt idx="50">
                  <c:v>0.99924075571249527</c:v>
                </c:pt>
                <c:pt idx="51">
                  <c:v>1.0425141383357071</c:v>
                </c:pt>
                <c:pt idx="52">
                  <c:v>1.0867307671936095</c:v>
                </c:pt>
                <c:pt idx="53">
                  <c:v>1.1318913092763505</c:v>
                </c:pt>
                <c:pt idx="54">
                  <c:v>1.1779963861979343</c:v>
                </c:pt>
                <c:pt idx="55">
                  <c:v>1.2250465754942961</c:v>
                </c:pt>
                <c:pt idx="56">
                  <c:v>1.2730424118519654</c:v>
                </c:pt>
                <c:pt idx="57">
                  <c:v>1.3219843882723454</c:v>
                </c:pt>
                <c:pt idx="58">
                  <c:v>1.3718729571761861</c:v>
                </c:pt>
                <c:pt idx="59">
                  <c:v>1.4227085314524313</c:v>
                </c:pt>
                <c:pt idx="60">
                  <c:v>1.4744914854552624</c:v>
                </c:pt>
                <c:pt idx="61">
                  <c:v>1.5272221559528334</c:v>
                </c:pt>
                <c:pt idx="62">
                  <c:v>1.5809008430309097</c:v>
                </c:pt>
                <c:pt idx="63">
                  <c:v>1.6355278109543554</c:v>
                </c:pt>
                <c:pt idx="64">
                  <c:v>1.6911032889891806</c:v>
                </c:pt>
                <c:pt idx="65">
                  <c:v>1.7476274721876446</c:v>
                </c:pt>
                <c:pt idx="66">
                  <c:v>1.8051005221387193</c:v>
                </c:pt>
                <c:pt idx="67">
                  <c:v>1.8635225676860381</c:v>
                </c:pt>
                <c:pt idx="68">
                  <c:v>1.922893705615297</c:v>
                </c:pt>
                <c:pt idx="69">
                  <c:v>1.98321400131293</c:v>
                </c:pt>
                <c:pt idx="70">
                  <c:v>2.0444834893977446</c:v>
                </c:pt>
                <c:pt idx="71">
                  <c:v>2.1067021743270846</c:v>
                </c:pt>
                <c:pt idx="72">
                  <c:v>2.1698700309789767</c:v>
                </c:pt>
                <c:pt idx="73">
                  <c:v>2.2339870052116106</c:v>
                </c:pt>
                <c:pt idx="74">
                  <c:v>2.2990530144014163</c:v>
                </c:pt>
                <c:pt idx="75">
                  <c:v>2.3650679479609096</c:v>
                </c:pt>
                <c:pt idx="76">
                  <c:v>2.4320316678374039</c:v>
                </c:pt>
                <c:pt idx="77">
                  <c:v>2.4999440089936091</c:v>
                </c:pt>
                <c:pt idx="78">
                  <c:v>2.5688047798710754</c:v>
                </c:pt>
                <c:pt idx="79">
                  <c:v>2.6386137628373731</c:v>
                </c:pt>
                <c:pt idx="80">
                  <c:v>2.7093707146178505</c:v>
                </c:pt>
                <c:pt idx="81">
                  <c:v>2.7810753667127508</c:v>
                </c:pt>
                <c:pt idx="82">
                  <c:v>2.8537274258004248</c:v>
                </c:pt>
                <c:pt idx="83">
                  <c:v>2.9273265741273313</c:v>
                </c:pt>
                <c:pt idx="84">
                  <c:v>3.0018724698854728</c:v>
                </c:pt>
                <c:pt idx="85">
                  <c:v>3.0773647475778776</c:v>
                </c:pt>
                <c:pt idx="86">
                  <c:v>3.1538030183727019</c:v>
                </c:pt>
                <c:pt idx="87">
                  <c:v>3.2311868704464919</c:v>
                </c:pt>
                <c:pt idx="88">
                  <c:v>3.3095158693171163</c:v>
                </c:pt>
                <c:pt idx="89">
                  <c:v>3.3887895581668466</c:v>
                </c:pt>
                <c:pt idx="90">
                  <c:v>3.4690074581560411</c:v>
                </c:pt>
                <c:pt idx="91">
                  <c:v>3.5501690687278593</c:v>
                </c:pt>
                <c:pt idx="92">
                  <c:v>3.632273867904408</c:v>
                </c:pt>
                <c:pt idx="93">
                  <c:v>3.7153213125747055</c:v>
                </c:pt>
                <c:pt idx="94">
                  <c:v>3.7993108387748209</c:v>
                </c:pt>
                <c:pt idx="95">
                  <c:v>3.8842418619605317</c:v>
                </c:pt>
                <c:pt idx="96">
                  <c:v>3.9701137772728243</c:v>
                </c:pt>
                <c:pt idx="97">
                  <c:v>4.0569259597965432</c:v>
                </c:pt>
                <c:pt idx="98">
                  <c:v>4.1446777648124797</c:v>
                </c:pt>
                <c:pt idx="99">
                  <c:v>4.2333685280431732</c:v>
                </c:pt>
                <c:pt idx="100">
                  <c:v>4.3229975658926927</c:v>
                </c:pt>
                <c:pt idx="101">
                  <c:v>4.4135640375439404</c:v>
                </c:pt>
                <c:pt idx="102">
                  <c:v>4.5050668064480917</c:v>
                </c:pt>
                <c:pt idx="103">
                  <c:v>4.5975045779198203</c:v>
                </c:pt>
                <c:pt idx="104">
                  <c:v>4.6908760373460341</c:v>
                </c:pt>
                <c:pt idx="105">
                  <c:v>4.785179850431283</c:v>
                </c:pt>
                <c:pt idx="106">
                  <c:v>4.8804146634378585</c:v>
                </c:pt>
                <c:pt idx="107">
                  <c:v>4.9765791034207849</c:v>
                </c:pt>
                <c:pt idx="108">
                  <c:v>5.073671778457908</c:v>
                </c:pt>
                <c:pt idx="109">
                  <c:v>5.1716912778752677</c:v>
                </c:pt>
                <c:pt idx="110">
                  <c:v>5.2706361724679409</c:v>
                </c:pt>
                <c:pt idx="111">
                  <c:v>5.3705050147165183</c:v>
                </c:pt>
                <c:pt idx="112">
                  <c:v>5.4712963389993901</c:v>
                </c:pt>
                <c:pt idx="113">
                  <c:v>5.5730086618009844</c:v>
                </c:pt>
                <c:pt idx="114">
                  <c:v>5.6756404819161226</c:v>
                </c:pt>
                <c:pt idx="115">
                  <c:v>5.7791902806506181</c:v>
                </c:pt>
                <c:pt idx="116">
                  <c:v>5.8836565220182688</c:v>
                </c:pt>
                <c:pt idx="117">
                  <c:v>5.9890376529343623</c:v>
                </c:pt>
                <c:pt idx="118">
                  <c:v>6.0953321034058243</c:v>
                </c:pt>
                <c:pt idx="119">
                  <c:v>6.2025382867181245</c:v>
                </c:pt>
                <c:pt idx="120">
                  <c:v>6.3106545996190571</c:v>
                </c:pt>
                <c:pt idx="121">
                  <c:v>6.4196794224994997</c:v>
                </c:pt>
                <c:pt idx="122">
                  <c:v>6.5296111195712561</c:v>
                </c:pt>
                <c:pt idx="123">
                  <c:v>6.6404480390420835</c:v>
                </c:pt>
                <c:pt idx="124">
                  <c:v>6.7521885132879964</c:v>
                </c:pt>
                <c:pt idx="125">
                  <c:v>6.8648308590229368</c:v>
                </c:pt>
                <c:pt idx="126">
                  <c:v>6.9783733774659016</c:v>
                </c:pt>
                <c:pt idx="127">
                  <c:v>7.092814354505605</c:v>
                </c:pt>
                <c:pt idx="128">
                  <c:v>7.2081520608627612</c:v>
                </c:pt>
                <c:pt idx="129">
                  <c:v>7.3243847522500571</c:v>
                </c:pt>
                <c:pt idx="130">
                  <c:v>7.4415106695298956</c:v>
                </c:pt>
                <c:pt idx="131">
                  <c:v>7.5595280388699715</c:v>
                </c:pt>
                <c:pt idx="132">
                  <c:v>7.6784350718967511</c:v>
                </c:pt>
                <c:pt idx="133">
                  <c:v>7.7982299658469252</c:v>
                </c:pt>
                <c:pt idx="134">
                  <c:v>7.9189109037168848</c:v>
                </c:pt>
                <c:pt idx="135">
                  <c:v>8.0404760544102913</c:v>
                </c:pt>
                <c:pt idx="136">
                  <c:v>8.1629235728837877</c:v>
                </c:pt>
                <c:pt idx="137">
                  <c:v>8.2862516002909139</c:v>
                </c:pt>
                <c:pt idx="138">
                  <c:v>8.4104582641242782</c:v>
                </c:pt>
                <c:pt idx="139">
                  <c:v>8.5355416783560241</c:v>
                </c:pt>
                <c:pt idx="140">
                  <c:v>8.6614999435766524</c:v>
                </c:pt>
                <c:pt idx="141">
                  <c:v>8.7883311471322454</c:v>
                </c:pt>
                <c:pt idx="142">
                  <c:v>8.9160333632601265</c:v>
                </c:pt>
                <c:pt idx="143">
                  <c:v>9.0446046532230113</c:v>
                </c:pt>
                <c:pt idx="144">
                  <c:v>9.1740430654416869</c:v>
                </c:pt>
                <c:pt idx="145">
                  <c:v>9.3043466356262492</c:v>
                </c:pt>
                <c:pt idx="146">
                  <c:v>9.4355133869059546</c:v>
                </c:pt>
                <c:pt idx="147">
                  <c:v>9.5675413299577077</c:v>
                </c:pt>
                <c:pt idx="148">
                  <c:v>9.7004284631332247</c:v>
                </c:pt>
                <c:pt idx="149">
                  <c:v>9.834172772584914</c:v>
                </c:pt>
                <c:pt idx="150">
                  <c:v>9.9687722323904921</c:v>
                </c:pt>
                <c:pt idx="151">
                  <c:v>10.104224853936708</c:v>
                </c:pt>
                <c:pt idx="152">
                  <c:v>10.240528735443547</c:v>
                </c:pt>
                <c:pt idx="153">
                  <c:v>10.377682012988437</c:v>
                </c:pt>
                <c:pt idx="154">
                  <c:v>10.515682811383806</c:v>
                </c:pt>
                <c:pt idx="155">
                  <c:v>10.654529244288252</c:v>
                </c:pt>
                <c:pt idx="156">
                  <c:v>10.794219414316691</c:v>
                </c:pt>
                <c:pt idx="157">
                  <c:v>10.934751413149543</c:v>
                </c:pt>
                <c:pt idx="158">
                  <c:v>11.076123321640948</c:v>
                </c:pt>
                <c:pt idx="159">
                  <c:v>11.21833320992604</c:v>
                </c:pt>
                <c:pt idx="160">
                  <c:v>11.361379137527322</c:v>
                </c:pt>
                <c:pt idx="161">
                  <c:v>11.505259153460123</c:v>
                </c:pt>
                <c:pt idx="162">
                  <c:v>11.649971296337192</c:v>
                </c:pt>
                <c:pt idx="163">
                  <c:v>11.795513594472428</c:v>
                </c:pt>
                <c:pt idx="164">
                  <c:v>11.941884065983778</c:v>
                </c:pt>
                <c:pt idx="165">
                  <c:v>12.089080718895302</c:v>
                </c:pt>
                <c:pt idx="166">
                  <c:v>12.237101551238434</c:v>
                </c:pt>
                <c:pt idx="167">
                  <c:v>12.385944551152464</c:v>
                </c:pt>
                <c:pt idx="168">
                  <c:v>12.535607696984236</c:v>
                </c:pt>
                <c:pt idx="169">
                  <c:v>12.686088957387089</c:v>
                </c:pt>
                <c:pt idx="170">
                  <c:v>12.837386291419051</c:v>
                </c:pt>
                <c:pt idx="171">
                  <c:v>12.98949764864032</c:v>
                </c:pt>
                <c:pt idx="172">
                  <c:v>13.142420969210002</c:v>
                </c:pt>
                <c:pt idx="173">
                  <c:v>13.296154183982166</c:v>
                </c:pt>
                <c:pt idx="174">
                  <c:v>13.450695214601199</c:v>
                </c:pt>
                <c:pt idx="175">
                  <c:v>13.606041973596486</c:v>
                </c:pt>
                <c:pt idx="176">
                  <c:v>13.762192364476423</c:v>
                </c:pt>
                <c:pt idx="177">
                  <c:v>13.919144281821767</c:v>
                </c:pt>
                <c:pt idx="178">
                  <c:v>14.076895611378353</c:v>
                </c:pt>
                <c:pt idx="179">
                  <c:v>14.235444230149167</c:v>
                </c:pt>
                <c:pt idx="180">
                  <c:v>14.394788006485802</c:v>
                </c:pt>
                <c:pt idx="181">
                  <c:v>14.554924800179293</c:v>
                </c:pt>
                <c:pt idx="182">
                  <c:v>14.715852462550354</c:v>
                </c:pt>
                <c:pt idx="183">
                  <c:v>14.877568836539009</c:v>
                </c:pt>
                <c:pt idx="184">
                  <c:v>15.040071756793651</c:v>
                </c:pt>
                <c:pt idx="185">
                  <c:v>15.203359049759509</c:v>
                </c:pt>
                <c:pt idx="186">
                  <c:v>15.367428533766551</c:v>
                </c:pt>
                <c:pt idx="187">
                  <c:v>15.53227801911682</c:v>
                </c:pt>
                <c:pt idx="188">
                  <c:v>15.697905308171224</c:v>
                </c:pt>
                <c:pt idx="189">
                  <c:v>15.86430819543577</c:v>
                </c:pt>
                <c:pt idx="190">
                  <c:v>16.03148446764726</c:v>
                </c:pt>
                <c:pt idx="191">
                  <c:v>16.199431903858454</c:v>
                </c:pt>
                <c:pt idx="192">
                  <c:v>16.368148275522699</c:v>
                </c:pt>
                <c:pt idx="193">
                  <c:v>16.537631346578063</c:v>
                </c:pt>
                <c:pt idx="194">
                  <c:v>16.707878873530909</c:v>
                </c:pt>
                <c:pt idx="195">
                  <c:v>16.878888605539011</c:v>
                </c:pt>
                <c:pt idx="196">
                  <c:v>17.050658284494126</c:v>
                </c:pt>
                <c:pt idx="197">
                  <c:v>17.223185645104092</c:v>
                </c:pt>
                <c:pt idx="198">
                  <c:v>17.396468414974425</c:v>
                </c:pt>
                <c:pt idx="199">
                  <c:v>17.570504314689437</c:v>
                </c:pt>
                <c:pt idx="200">
                  <c:v>17.745291057892857</c:v>
                </c:pt>
                <c:pt idx="201">
                  <c:v>17.920826351367989</c:v>
                </c:pt>
                <c:pt idx="202">
                  <c:v>18.097107895117389</c:v>
                </c:pt>
                <c:pt idx="203">
                  <c:v>18.274133382442077</c:v>
                </c:pt>
                <c:pt idx="204">
                  <c:v>18.45190050002029</c:v>
                </c:pt>
                <c:pt idx="205">
                  <c:v>18.630406927985756</c:v>
                </c:pt>
                <c:pt idx="206">
                  <c:v>18.809650340005543</c:v>
                </c:pt>
                <c:pt idx="207">
                  <c:v>18.989628403357418</c:v>
                </c:pt>
                <c:pt idx="208">
                  <c:v>19.170338779006798</c:v>
                </c:pt>
                <c:pt idx="209">
                  <c:v>19.351779121683222</c:v>
                </c:pt>
                <c:pt idx="210">
                  <c:v>19.533947079956398</c:v>
                </c:pt>
                <c:pt idx="211">
                  <c:v>19.716840296311815</c:v>
                </c:pt>
                <c:pt idx="212">
                  <c:v>19.900456407225903</c:v>
                </c:pt>
                <c:pt idx="213">
                  <c:v>20.084793043240783</c:v>
                </c:pt>
                <c:pt idx="214">
                  <c:v>20.269847829038568</c:v>
                </c:pt>
                <c:pt idx="215">
                  <c:v>20.455618383515255</c:v>
                </c:pt>
                <c:pt idx="216">
                  <c:v>20.642102319854175</c:v>
                </c:pt>
                <c:pt idx="217">
                  <c:v>20.829297245599051</c:v>
                </c:pt>
                <c:pt idx="218">
                  <c:v>21.017200762726596</c:v>
                </c:pt>
                <c:pt idx="219">
                  <c:v>21.205810467718742</c:v>
                </c:pt>
                <c:pt idx="220">
                  <c:v>21.39512395163441</c:v>
                </c:pt>
                <c:pt idx="221">
                  <c:v>21.585138800180918</c:v>
                </c:pt>
                <c:pt idx="222">
                  <c:v>21.775852593784926</c:v>
                </c:pt>
                <c:pt idx="223">
                  <c:v>21.96726290766302</c:v>
                </c:pt>
                <c:pt idx="224">
                  <c:v>22.159367311891874</c:v>
                </c:pt>
                <c:pt idx="225">
                  <c:v>22.352163371477999</c:v>
                </c:pt>
                <c:pt idx="226">
                  <c:v>22.545648646427114</c:v>
                </c:pt>
                <c:pt idx="227">
                  <c:v>22.739820691813087</c:v>
                </c:pt>
                <c:pt idx="228">
                  <c:v>22.934677057846518</c:v>
                </c:pt>
                <c:pt idx="229">
                  <c:v>23.130215289942889</c:v>
                </c:pt>
                <c:pt idx="230">
                  <c:v>23.326432928790354</c:v>
                </c:pt>
                <c:pt idx="231">
                  <c:v>23.523327510417104</c:v>
                </c:pt>
                <c:pt idx="232">
                  <c:v>23.720896566258372</c:v>
                </c:pt>
                <c:pt idx="233">
                  <c:v>23.919137623223023</c:v>
                </c:pt>
                <c:pt idx="234">
                  <c:v>24.118048203759773</c:v>
                </c:pt>
                <c:pt idx="235">
                  <c:v>24.317625825923017</c:v>
                </c:pt>
                <c:pt idx="236">
                  <c:v>24.517868003438277</c:v>
                </c:pt>
                <c:pt idx="237">
                  <c:v>24.718772245767251</c:v>
                </c:pt>
                <c:pt idx="238">
                  <c:v>24.920336058172499</c:v>
                </c:pt>
                <c:pt idx="239">
                  <c:v>25.122556941781731</c:v>
                </c:pt>
                <c:pt idx="240">
                  <c:v>25.325432393651734</c:v>
                </c:pt>
                <c:pt idx="241">
                  <c:v>25.528959906831904</c:v>
                </c:pt>
                <c:pt idx="242">
                  <c:v>25.733136970427402</c:v>
                </c:pt>
                <c:pt idx="243">
                  <c:v>25.937961069661938</c:v>
                </c:pt>
                <c:pt idx="244">
                  <c:v>26.143429685940184</c:v>
                </c:pt>
                <c:pt idx="245">
                  <c:v>26.349540296909804</c:v>
                </c:pt>
                <c:pt idx="246">
                  <c:v>26.556290376523112</c:v>
                </c:pt>
                <c:pt idx="247">
                  <c:v>26.763677395098362</c:v>
                </c:pt>
                <c:pt idx="248">
                  <c:v>26.971698819380659</c:v>
                </c:pt>
                <c:pt idx="249">
                  <c:v>27.180352112602503</c:v>
                </c:pt>
                <c:pt idx="250">
                  <c:v>27.389634734543964</c:v>
                </c:pt>
                <c:pt idx="251">
                  <c:v>27.599543914835806</c:v>
                </c:pt>
                <c:pt idx="252">
                  <c:v>27.810076425978416</c:v>
                </c:pt>
                <c:pt idx="253">
                  <c:v>28.021228809992678</c:v>
                </c:pt>
                <c:pt idx="254">
                  <c:v>28.232997605365256</c:v>
                </c:pt>
                <c:pt idx="255">
                  <c:v>28.445379347128739</c:v>
                </c:pt>
                <c:pt idx="256">
                  <c:v>28.658370566941198</c:v>
                </c:pt>
                <c:pt idx="257">
                  <c:v>28.871967793165155</c:v>
                </c:pt>
                <c:pt idx="258">
                  <c:v>29.086167550945945</c:v>
                </c:pt>
                <c:pt idx="259">
                  <c:v>29.300966362289479</c:v>
                </c:pt>
                <c:pt idx="260">
                  <c:v>29.51636074613943</c:v>
                </c:pt>
                <c:pt idx="261">
                  <c:v>29.732347218453818</c:v>
                </c:pt>
                <c:pt idx="262">
                  <c:v>29.948922292281008</c:v>
                </c:pt>
                <c:pt idx="263">
                  <c:v>30.166082477835108</c:v>
                </c:pt>
                <c:pt idx="264">
                  <c:v>30.383824282570799</c:v>
                </c:pt>
                <c:pt idx="265">
                  <c:v>30.60214421125756</c:v>
                </c:pt>
                <c:pt idx="266">
                  <c:v>30.821038766053313</c:v>
                </c:pt>
                <c:pt idx="267">
                  <c:v>31.040504446577494</c:v>
                </c:pt>
                <c:pt idx="268">
                  <c:v>31.26053774998352</c:v>
                </c:pt>
                <c:pt idx="269">
                  <c:v>31.48113517103069</c:v>
                </c:pt>
                <c:pt idx="270">
                  <c:v>31.702293202155506</c:v>
                </c:pt>
                <c:pt idx="271">
                  <c:v>31.924008333542396</c:v>
                </c:pt>
                <c:pt idx="272">
                  <c:v>32.146277053193877</c:v>
                </c:pt>
                <c:pt idx="273">
                  <c:v>32.369095847000139</c:v>
                </c:pt>
                <c:pt idx="274">
                  <c:v>32.592461198808039</c:v>
                </c:pt>
                <c:pt idx="275">
                  <c:v>32.816369590489522</c:v>
                </c:pt>
                <c:pt idx="276">
                  <c:v>33.040817502009482</c:v>
                </c:pt>
                <c:pt idx="277">
                  <c:v>33.265801411493037</c:v>
                </c:pt>
                <c:pt idx="278">
                  <c:v>33.491317795292247</c:v>
                </c:pt>
                <c:pt idx="279">
                  <c:v>33.717363128052227</c:v>
                </c:pt>
                <c:pt idx="280">
                  <c:v>33.943933882776733</c:v>
                </c:pt>
                <c:pt idx="281">
                  <c:v>34.171026530893137</c:v>
                </c:pt>
                <c:pt idx="282">
                  <c:v>34.398637542316884</c:v>
                </c:pt>
                <c:pt idx="283">
                  <c:v>34.626763385515325</c:v>
                </c:pt>
                <c:pt idx="284">
                  <c:v>34.855400527571028</c:v>
                </c:pt>
                <c:pt idx="285">
                  <c:v>35.084545434244525</c:v>
                </c:pt>
                <c:pt idx="286">
                  <c:v>35.314194570036442</c:v>
                </c:pt>
                <c:pt idx="287">
                  <c:v>35.544344398249152</c:v>
                </c:pt>
                <c:pt idx="288">
                  <c:v>35.774991381047784</c:v>
                </c:pt>
                <c:pt idx="289">
                  <c:v>36.006131979520724</c:v>
                </c:pt>
                <c:pt idx="290">
                  <c:v>36.237762653739559</c:v>
                </c:pt>
                <c:pt idx="291">
                  <c:v>36.469879862818416</c:v>
                </c:pt>
                <c:pt idx="292">
                  <c:v>36.702480064972796</c:v>
                </c:pt>
                <c:pt idx="293">
                  <c:v>36.935559717577831</c:v>
                </c:pt>
                <c:pt idx="294">
                  <c:v>37.169115277225998</c:v>
                </c:pt>
                <c:pt idx="295">
                  <c:v>37.403143199784246</c:v>
                </c:pt>
                <c:pt idx="296">
                  <c:v>37.637639940450626</c:v>
                </c:pt>
                <c:pt idx="297">
                  <c:v>37.872601953810324</c:v>
                </c:pt>
                <c:pt idx="298">
                  <c:v>38.10802314377635</c:v>
                </c:pt>
                <c:pt idx="299">
                  <c:v>38.343892311859577</c:v>
                </c:pt>
                <c:pt idx="300">
                  <c:v>38.580195707975705</c:v>
                </c:pt>
                <c:pt idx="301">
                  <c:v>38.816919583084861</c:v>
                </c:pt>
                <c:pt idx="302">
                  <c:v>39.054050189568038</c:v>
                </c:pt>
                <c:pt idx="303">
                  <c:v>39.291573781596988</c:v>
                </c:pt>
                <c:pt idx="304">
                  <c:v>39.529476615497494</c:v>
                </c:pt>
                <c:pt idx="305">
                  <c:v>39.767744950106092</c:v>
                </c:pt>
                <c:pt idx="306">
                  <c:v>40.006365047120262</c:v>
                </c:pt>
                <c:pt idx="307">
                  <c:v>40.245323171442038</c:v>
                </c:pt>
                <c:pt idx="308">
                  <c:v>40.484605591515098</c:v>
                </c:pt>
                <c:pt idx="309">
                  <c:v>40.724198579655351</c:v>
                </c:pt>
                <c:pt idx="310">
                  <c:v>40.964088412374984</c:v>
                </c:pt>
                <c:pt idx="311">
                  <c:v>41.204261370700074</c:v>
                </c:pt>
                <c:pt idx="312">
                  <c:v>41.444703740481636</c:v>
                </c:pt>
                <c:pt idx="313">
                  <c:v>41.685401812700285</c:v>
                </c:pt>
                <c:pt idx="314">
                  <c:v>41.926341883764394</c:v>
                </c:pt>
                <c:pt idx="315">
                  <c:v>42.167510255801822</c:v>
                </c:pt>
                <c:pt idx="316">
                  <c:v>42.408893236945254</c:v>
                </c:pt>
                <c:pt idx="317">
                  <c:v>42.65047714161107</c:v>
                </c:pt>
                <c:pt idx="318">
                  <c:v>42.892248290771867</c:v>
                </c:pt>
                <c:pt idx="319">
                  <c:v>43.134193012222603</c:v>
                </c:pt>
                <c:pt idx="320">
                  <c:v>43.376297640840342</c:v>
                </c:pt>
                <c:pt idx="321">
                  <c:v>43.618549544197791</c:v>
                </c:pt>
                <c:pt idx="322">
                  <c:v>43.860938148199949</c:v>
                </c:pt>
                <c:pt idx="323">
                  <c:v>44.103453910734359</c:v>
                </c:pt>
                <c:pt idx="324">
                  <c:v>44.346087295225828</c:v>
                </c:pt>
                <c:pt idx="325">
                  <c:v>44.588828770746645</c:v>
                </c:pt>
                <c:pt idx="326">
                  <c:v>44.831668812123702</c:v>
                </c:pt>
                <c:pt idx="327">
                  <c:v>45.074597900042583</c:v>
                </c:pt>
                <c:pt idx="328">
                  <c:v>45.317606521148576</c:v>
                </c:pt>
                <c:pt idx="329">
                  <c:v>45.560685168144687</c:v>
                </c:pt>
                <c:pt idx="330">
                  <c:v>45.803824339886567</c:v>
                </c:pt>
                <c:pt idx="331">
                  <c:v>46.047014541474482</c:v>
                </c:pt>
                <c:pt idx="332">
                  <c:v>46.290246284342231</c:v>
                </c:pt>
                <c:pt idx="333">
                  <c:v>46.533510086343085</c:v>
                </c:pt>
                <c:pt idx="334">
                  <c:v>46.776796471832753</c:v>
                </c:pt>
                <c:pt idx="335">
                  <c:v>47.020095971749335</c:v>
                </c:pt>
                <c:pt idx="336">
                  <c:v>47.263399123690363</c:v>
                </c:pt>
                <c:pt idx="337">
                  <c:v>47.506696471986835</c:v>
                </c:pt>
                <c:pt idx="338">
                  <c:v>47.749978567774342</c:v>
                </c:pt>
                <c:pt idx="339">
                  <c:v>47.993235969061246</c:v>
                </c:pt>
                <c:pt idx="340">
                  <c:v>48.236459240793934</c:v>
                </c:pt>
                <c:pt idx="341">
                  <c:v>48.479638954919182</c:v>
                </c:pt>
                <c:pt idx="342">
                  <c:v>48.722765690443573</c:v>
                </c:pt>
                <c:pt idx="343">
                  <c:v>48.965830033490079</c:v>
                </c:pt>
                <c:pt idx="344">
                  <c:v>49.208822577351711</c:v>
                </c:pt>
                <c:pt idx="345">
                  <c:v>49.451733922542338</c:v>
                </c:pt>
                <c:pt idx="346">
                  <c:v>49.694554676844618</c:v>
                </c:pt>
                <c:pt idx="347">
                  <c:v>49.937275455355078</c:v>
                </c:pt>
                <c:pt idx="348">
                  <c:v>50.179886992497835</c:v>
                </c:pt>
                <c:pt idx="349">
                  <c:v>50.42238025399309</c:v>
                </c:pt>
                <c:pt idx="350">
                  <c:v>50.664746324723218</c:v>
                </c:pt>
                <c:pt idx="351">
                  <c:v>50.906976296635065</c:v>
                </c:pt>
                <c:pt idx="352">
                  <c:v>51.149061268764555</c:v>
                </c:pt>
                <c:pt idx="353">
                  <c:v>51.390992347258731</c:v>
                </c:pt>
                <c:pt idx="354">
                  <c:v>51.632760645395308</c:v>
                </c:pt>
                <c:pt idx="355">
                  <c:v>51.8743572835997</c:v>
                </c:pt>
                <c:pt idx="356">
                  <c:v>52.115773389459569</c:v>
                </c:pt>
                <c:pt idx="357">
                  <c:v>52.357000097736851</c:v>
                </c:pt>
                <c:pt idx="358">
                  <c:v>52.59802855037735</c:v>
                </c:pt>
                <c:pt idx="359">
                  <c:v>52.838849896517793</c:v>
                </c:pt>
                <c:pt idx="360">
                  <c:v>53.079457634144958</c:v>
                </c:pt>
                <c:pt idx="361">
                  <c:v>53.319849950574614</c:v>
                </c:pt>
                <c:pt idx="362">
                  <c:v>53.56002737627918</c:v>
                </c:pt>
                <c:pt idx="363">
                  <c:v>53.799990439896973</c:v>
                </c:pt>
                <c:pt idx="364">
                  <c:v>54.039739668240891</c:v>
                </c:pt>
                <c:pt idx="365">
                  <c:v>54.279275586307023</c:v>
                </c:pt>
                <c:pt idx="366">
                  <c:v>54.518598717283247</c:v>
                </c:pt>
                <c:pt idx="367">
                  <c:v>54.757709582557744</c:v>
                </c:pt>
                <c:pt idx="368">
                  <c:v>54.996608701727489</c:v>
                </c:pt>
                <c:pt idx="369">
                  <c:v>55.235296592606666</c:v>
                </c:pt>
                <c:pt idx="370">
                  <c:v>55.473773771235045</c:v>
                </c:pt>
                <c:pt idx="371">
                  <c:v>55.712040751886327</c:v>
                </c:pt>
                <c:pt idx="372">
                  <c:v>55.950098047076402</c:v>
                </c:pt>
                <c:pt idx="373">
                  <c:v>56.187946167571589</c:v>
                </c:pt>
                <c:pt idx="374">
                  <c:v>56.425585622396824</c:v>
                </c:pt>
                <c:pt idx="375">
                  <c:v>56.663016918843788</c:v>
                </c:pt>
                <c:pt idx="376">
                  <c:v>56.900240562478992</c:v>
                </c:pt>
                <c:pt idx="377">
                  <c:v>57.137257057151828</c:v>
                </c:pt>
                <c:pt idx="378">
                  <c:v>57.37406690500255</c:v>
                </c:pt>
                <c:pt idx="379">
                  <c:v>57.610670606470215</c:v>
                </c:pt>
                <c:pt idx="380">
                  <c:v>57.847068660300607</c:v>
                </c:pt>
                <c:pt idx="381">
                  <c:v>58.083261563554068</c:v>
                </c:pt>
                <c:pt idx="382">
                  <c:v>58.319249811613311</c:v>
                </c:pt>
                <c:pt idx="383">
                  <c:v>58.555033898191191</c:v>
                </c:pt>
                <c:pt idx="384">
                  <c:v>58.790614315338424</c:v>
                </c:pt>
                <c:pt idx="385">
                  <c:v>59.025991553451242</c:v>
                </c:pt>
                <c:pt idx="386">
                  <c:v>59.261166101279045</c:v>
                </c:pt>
                <c:pt idx="387">
                  <c:v>59.496138445931976</c:v>
                </c:pt>
                <c:pt idx="388">
                  <c:v>59.730909072888458</c:v>
                </c:pt>
                <c:pt idx="389">
                  <c:v>59.9654784660027</c:v>
                </c:pt>
                <c:pt idx="390">
                  <c:v>60.199847107512142</c:v>
                </c:pt>
                <c:pt idx="391">
                  <c:v>60.434015478044877</c:v>
                </c:pt>
                <c:pt idx="392">
                  <c:v>60.66798405662702</c:v>
                </c:pt>
                <c:pt idx="393">
                  <c:v>60.90175332069002</c:v>
                </c:pt>
                <c:pt idx="394">
                  <c:v>61.135323746077972</c:v>
                </c:pt>
                <c:pt idx="395">
                  <c:v>61.368695807054827</c:v>
                </c:pt>
                <c:pt idx="396">
                  <c:v>61.601869976311626</c:v>
                </c:pt>
                <c:pt idx="397">
                  <c:v>61.834846724973644</c:v>
                </c:pt>
                <c:pt idx="398">
                  <c:v>62.067626522607512</c:v>
                </c:pt>
                <c:pt idx="399">
                  <c:v>62.300209837228294</c:v>
                </c:pt>
                <c:pt idx="400">
                  <c:v>62.532597135306538</c:v>
                </c:pt>
                <c:pt idx="401">
                  <c:v>64.845725221300455</c:v>
                </c:pt>
                <c:pt idx="402">
                  <c:v>67.139551184664299</c:v>
                </c:pt>
                <c:pt idx="403">
                  <c:v>69.414527242658835</c:v>
                </c:pt>
                <c:pt idx="404">
                  <c:v>71.671091055478172</c:v>
                </c:pt>
                <c:pt idx="405">
                  <c:v>73.909666365261103</c:v>
                </c:pt>
                <c:pt idx="406">
                  <c:v>76.130663600306164</c:v>
                </c:pt>
                <c:pt idx="407">
                  <c:v>78.334480446755265</c:v>
                </c:pt>
                <c:pt idx="408">
                  <c:v>80.521502389839426</c:v>
                </c:pt>
                <c:pt idx="409">
                  <c:v>82.692103226624425</c:v>
                </c:pt>
                <c:pt idx="410">
                  <c:v>84.846645552050802</c:v>
                </c:pt>
                <c:pt idx="411">
                  <c:v>86.985481219931913</c:v>
                </c:pt>
                <c:pt idx="412">
                  <c:v>89.108951780453566</c:v>
                </c:pt>
                <c:pt idx="413">
                  <c:v>91.217388895608266</c:v>
                </c:pt>
                <c:pt idx="414">
                  <c:v>93.311114733896048</c:v>
                </c:pt>
                <c:pt idx="415">
                  <c:v>95.390442345530303</c:v>
                </c:pt>
                <c:pt idx="416">
                  <c:v>97.455676019301507</c:v>
                </c:pt>
                <c:pt idx="417">
                  <c:v>99.507111622172559</c:v>
                </c:pt>
                <c:pt idx="418">
                  <c:v>101.54503692260646</c:v>
                </c:pt>
                <c:pt idx="419">
                  <c:v>103.56973189855991</c:v>
                </c:pt>
                <c:pt idx="420">
                  <c:v>105.58146903101419</c:v>
                </c:pt>
                <c:pt idx="421">
                  <c:v>107.58051358385723</c:v>
                </c:pt>
                <c:pt idx="422">
                  <c:v>109.56712387087755</c:v>
                </c:pt>
                <c:pt idx="423">
                  <c:v>111.5415515105819</c:v>
                </c:pt>
                <c:pt idx="424">
                  <c:v>113.50404166950212</c:v>
                </c:pt>
                <c:pt idx="425">
                  <c:v>115.4548332946154</c:v>
                </c:pt>
                <c:pt idx="426">
                  <c:v>117.39415933546198</c:v>
                </c:pt>
                <c:pt idx="427">
                  <c:v>119.32224695650859</c:v>
                </c:pt>
                <c:pt idx="428">
                  <c:v>121.23931774027169</c:v>
                </c:pt>
                <c:pt idx="429">
                  <c:v>123.14558788168321</c:v>
                </c:pt>
                <c:pt idx="430">
                  <c:v>125.04126837415234</c:v>
                </c:pt>
                <c:pt idx="431">
                  <c:v>126.92656518774933</c:v>
                </c:pt>
                <c:pt idx="432">
                  <c:v>128.80167943991219</c:v>
                </c:pt>
                <c:pt idx="433">
                  <c:v>130.6668075590533</c:v>
                </c:pt>
                <c:pt idx="434">
                  <c:v>132.52214144142087</c:v>
                </c:pt>
                <c:pt idx="435">
                  <c:v>134.36786860154962</c:v>
                </c:pt>
                <c:pt idx="436">
                  <c:v>136.20417231661565</c:v>
                </c:pt>
                <c:pt idx="437">
                  <c:v>138.03123176499275</c:v>
                </c:pt>
                <c:pt idx="438">
                  <c:v>139.84922215929006</c:v>
                </c:pt>
                <c:pt idx="439">
                  <c:v>141.65831487413581</c:v>
                </c:pt>
                <c:pt idx="440">
                  <c:v>143.45867756895666</c:v>
                </c:pt>
                <c:pt idx="441">
                  <c:v>145.25047430598852</c:v>
                </c:pt>
                <c:pt idx="442">
                  <c:v>147.03386566374195</c:v>
                </c:pt>
                <c:pt idx="443">
                  <c:v>148.80900884613254</c:v>
                </c:pt>
                <c:pt idx="444">
                  <c:v>150.57605778747595</c:v>
                </c:pt>
                <c:pt idx="445">
                  <c:v>152.33516325353614</c:v>
                </c:pt>
                <c:pt idx="446">
                  <c:v>154.08647293880526</c:v>
                </c:pt>
                <c:pt idx="447">
                  <c:v>155.83013156018444</c:v>
                </c:pt>
                <c:pt idx="448">
                  <c:v>157.56628094722583</c:v>
                </c:pt>
                <c:pt idx="449">
                  <c:v>159.2950601290874</c:v>
                </c:pt>
                <c:pt idx="450">
                  <c:v>161.0166054183448</c:v>
                </c:pt>
                <c:pt idx="451">
                  <c:v>162.73105049179674</c:v>
                </c:pt>
                <c:pt idx="452">
                  <c:v>164.43852646839335</c:v>
                </c:pt>
                <c:pt idx="453">
                  <c:v>166.13916198441066</c:v>
                </c:pt>
                <c:pt idx="454">
                  <c:v>167.83308326598774</c:v>
                </c:pt>
                <c:pt idx="455">
                  <c:v>169.52041419913743</c:v>
                </c:pt>
                <c:pt idx="456">
                  <c:v>171.20127639733604</c:v>
                </c:pt>
                <c:pt idx="457">
                  <c:v>172.87578926679188</c:v>
                </c:pt>
                <c:pt idx="458">
                  <c:v>174.54407006948773</c:v>
                </c:pt>
                <c:pt idx="459">
                  <c:v>176.20623398408785</c:v>
                </c:pt>
                <c:pt idx="460">
                  <c:v>177.86239416479489</c:v>
                </c:pt>
                <c:pt idx="461">
                  <c:v>179.51266179823915</c:v>
                </c:pt>
                <c:pt idx="462">
                  <c:v>181.15714615847693</c:v>
                </c:pt>
                <c:pt idx="463">
                  <c:v>182.7959546601727</c:v>
                </c:pt>
                <c:pt idx="464">
                  <c:v>184.42919291003469</c:v>
                </c:pt>
                <c:pt idx="465">
                  <c:v>186.05696475657103</c:v>
                </c:pt>
                <c:pt idx="466">
                  <c:v>187.67937233822985</c:v>
                </c:pt>
                <c:pt idx="467">
                  <c:v>189.29651612998356</c:v>
                </c:pt>
                <c:pt idx="468">
                  <c:v>190.90849498841504</c:v>
                </c:pt>
                <c:pt idx="469">
                  <c:v>192.51540619535999</c:v>
                </c:pt>
                <c:pt idx="470">
                  <c:v>194.11734550015726</c:v>
                </c:pt>
                <c:pt idx="471">
                  <c:v>195.71440716055648</c:v>
                </c:pt>
                <c:pt idx="472">
                  <c:v>197.30668398232959</c:v>
                </c:pt>
                <c:pt idx="473">
                  <c:v>198.89426735763033</c:v>
                </c:pt>
                <c:pt idx="474">
                  <c:v>200.47724730214384</c:v>
                </c:pt>
                <c:pt idx="475">
                  <c:v>202.05571249106569</c:v>
                </c:pt>
                <c:pt idx="476">
                  <c:v>203.62975029394809</c:v>
                </c:pt>
                <c:pt idx="477">
                  <c:v>205.19944680844824</c:v>
                </c:pt>
                <c:pt idx="478">
                  <c:v>206.76488689301209</c:v>
                </c:pt>
                <c:pt idx="479">
                  <c:v>208.32615419852485</c:v>
                </c:pt>
                <c:pt idx="480">
                  <c:v>209.88333119895697</c:v>
                </c:pt>
                <c:pt idx="481">
                  <c:v>211.43649922103313</c:v>
                </c:pt>
                <c:pt idx="482">
                  <c:v>212.98573847294907</c:v>
                </c:pt>
                <c:pt idx="483">
                  <c:v>214.5311280721595</c:v>
                </c:pt>
                <c:pt idx="484">
                  <c:v>216.07274607225852</c:v>
                </c:pt>
                <c:pt idx="485">
                  <c:v>217.61066948897121</c:v>
                </c:pt>
                <c:pt idx="486">
                  <c:v>219.14497432527415</c:v>
                </c:pt>
                <c:pt idx="487">
                  <c:v>220.67573559565938</c:v>
                </c:pt>
                <c:pt idx="488">
                  <c:v>222.20302734955521</c:v>
                </c:pt>
                <c:pt idx="489">
                  <c:v>223.72692269391428</c:v>
                </c:pt>
                <c:pt idx="490">
                  <c:v>225.24749381497725</c:v>
                </c:pt>
                <c:pt idx="491">
                  <c:v>226.76481199921852</c:v>
                </c:pt>
                <c:pt idx="492">
                  <c:v>228.27894765347699</c:v>
                </c:pt>
                <c:pt idx="493">
                  <c:v>229.78997032427264</c:v>
                </c:pt>
                <c:pt idx="494">
                  <c:v>231.2979487163071</c:v>
                </c:pt>
                <c:pt idx="495">
                  <c:v>232.80295071014234</c:v>
                </c:pt>
                <c:pt idx="496">
                  <c:v>234.30504337904938</c:v>
                </c:pt>
                <c:pt idx="497">
                  <c:v>235.80429300501402</c:v>
                </c:pt>
                <c:pt idx="498">
                  <c:v>237.30076509388371</c:v>
                </c:pt>
                <c:pt idx="499">
                  <c:v>238.7945243896344</c:v>
                </c:pt>
                <c:pt idx="500">
                  <c:v>240.28563488773162</c:v>
                </c:pt>
                <c:pt idx="501">
                  <c:v>241.77415984755467</c:v>
                </c:pt>
                <c:pt idx="502">
                  <c:v>243.26016180384681</c:v>
                </c:pt>
                <c:pt idx="503">
                  <c:v>244.7437025771471</c:v>
                </c:pt>
                <c:pt idx="504">
                  <c:v>246.2248432831525</c:v>
                </c:pt>
                <c:pt idx="505">
                  <c:v>247.70364434095018</c:v>
                </c:pt>
                <c:pt idx="506">
                  <c:v>249.18016548005008</c:v>
                </c:pt>
                <c:pt idx="507">
                  <c:v>250.65446574613722</c:v>
                </c:pt>
                <c:pt idx="508">
                  <c:v>252.12660350545062</c:v>
                </c:pt>
                <c:pt idx="509">
                  <c:v>253.59663644768196</c:v>
                </c:pt>
                <c:pt idx="510">
                  <c:v>255.0646215872712</c:v>
                </c:pt>
                <c:pt idx="511">
                  <c:v>256.53061526295778</c:v>
                </c:pt>
                <c:pt idx="512">
                  <c:v>257.99467313542584</c:v>
                </c:pt>
                <c:pt idx="513">
                  <c:v>259.45685018285843</c:v>
                </c:pt>
                <c:pt idx="514">
                  <c:v>260.91720069418835</c:v>
                </c:pt>
                <c:pt idx="515">
                  <c:v>262.37577825980281</c:v>
                </c:pt>
                <c:pt idx="516">
                  <c:v>263.83263575942453</c:v>
                </c:pt>
                <c:pt idx="517">
                  <c:v>265.28782534685206</c:v>
                </c:pt>
                <c:pt idx="518">
                  <c:v>266.74139843119787</c:v>
                </c:pt>
                <c:pt idx="519">
                  <c:v>268.19340565421095</c:v>
                </c:pt>
                <c:pt idx="520">
                  <c:v>269.64389686321636</c:v>
                </c:pt>
                <c:pt idx="521">
                  <c:v>271.09292107913922</c:v>
                </c:pt>
                <c:pt idx="522">
                  <c:v>272.54052645901385</c:v>
                </c:pt>
                <c:pt idx="523">
                  <c:v>273.98676025230367</c:v>
                </c:pt>
                <c:pt idx="524">
                  <c:v>275.43166875027987</c:v>
                </c:pt>
                <c:pt idx="525">
                  <c:v>276.87529722762849</c:v>
                </c:pt>
                <c:pt idx="526">
                  <c:v>278.31768987537907</c:v>
                </c:pt>
                <c:pt idx="527">
                  <c:v>279.75888972418329</c:v>
                </c:pt>
                <c:pt idx="528">
                  <c:v>281.19893855692675</c:v>
                </c:pt>
                <c:pt idx="529">
                  <c:v>282.63787680964612</c:v>
                </c:pt>
                <c:pt idx="530">
                  <c:v>284.07574345976872</c:v>
                </c:pt>
                <c:pt idx="531">
                  <c:v>285.51257590081565</c:v>
                </c:pt>
                <c:pt idx="532">
                  <c:v>286.94840980294765</c:v>
                </c:pt>
                <c:pt idx="533">
                  <c:v>288.38327895912283</c:v>
                </c:pt>
                <c:pt idx="534">
                  <c:v>289.81721511721713</c:v>
                </c:pt>
                <c:pt idx="535">
                  <c:v>291.25024779927071</c:v>
                </c:pt>
                <c:pt idx="536">
                  <c:v>292.6824041100877</c:v>
                </c:pt>
                <c:pt idx="537">
                  <c:v>294.11370853872307</c:v>
                </c:pt>
                <c:pt idx="538">
                  <c:v>295.54418275787901</c:v>
                </c:pt>
                <c:pt idx="539">
                  <c:v>296.97384542777468</c:v>
                </c:pt>
                <c:pt idx="540">
                  <c:v>298.4027120124386</c:v>
                </c:pt>
                <c:pt idx="541">
                  <c:v>299.83079461732979</c:v>
                </c:pt>
                <c:pt idx="542">
                  <c:v>301.25810185743023</c:v>
                </c:pt>
                <c:pt idx="543">
                  <c:v>302.68463876422726</c:v>
                </c:pt>
                <c:pt idx="544">
                  <c:v>304.11040673822663</c:v>
                </c:pt>
                <c:pt idx="545">
                  <c:v>305.53540355092559</c:v>
                </c:pt>
                <c:pt idx="546">
                  <c:v>306.95962339686605</c:v>
                </c:pt>
                <c:pt idx="547">
                  <c:v>308.3830569929803</c:v>
                </c:pt>
                <c:pt idx="548">
                  <c:v>309.80569171945507</c:v>
                </c:pt>
                <c:pt idx="549">
                  <c:v>311.22751179418839</c:v>
                </c:pt>
                <c:pt idx="550">
                  <c:v>312.64849847179971</c:v>
                </c:pt>
                <c:pt idx="551">
                  <c:v>314.0686302580628</c:v>
                </c:pt>
                <c:pt idx="552">
                  <c:v>315.48788313136282</c:v>
                </c:pt>
                <c:pt idx="553">
                  <c:v>316.90623076405427</c:v>
                </c:pt>
                <c:pt idx="554">
                  <c:v>318.32364473812117</c:v>
                </c:pt>
                <c:pt idx="555">
                  <c:v>319.74009475108301</c:v>
                </c:pt>
                <c:pt idx="556">
                  <c:v>321.15554880948389</c:v>
                </c:pt>
                <c:pt idx="557">
                  <c:v>322.56997340846823</c:v>
                </c:pt>
                <c:pt idx="558">
                  <c:v>323.98333369685326</c:v>
                </c:pt>
                <c:pt idx="559">
                  <c:v>325.39559362777578</c:v>
                </c:pt>
                <c:pt idx="560">
                  <c:v>326.80671609544459</c:v>
                </c:pt>
                <c:pt idx="561">
                  <c:v>328.21666305881848</c:v>
                </c:pt>
                <c:pt idx="562">
                  <c:v>329.625395653189</c:v>
                </c:pt>
                <c:pt idx="563">
                  <c:v>331.03287429071486</c:v>
                </c:pt>
                <c:pt idx="564">
                  <c:v>332.43905875095828</c:v>
                </c:pt>
                <c:pt idx="565">
                  <c:v>333.84390826243674</c:v>
                </c:pt>
                <c:pt idx="566">
                  <c:v>335.24738157614178</c:v>
                </c:pt>
                <c:pt idx="567">
                  <c:v>336.64943703190039</c:v>
                </c:pt>
                <c:pt idx="568">
                  <c:v>338.05003261837527</c:v>
                </c:pt>
                <c:pt idx="569">
                  <c:v>339.4491260274196</c:v>
                </c:pt>
                <c:pt idx="570">
                  <c:v>340.84667470342407</c:v>
                </c:pt>
                <c:pt idx="571">
                  <c:v>342.24263588822419</c:v>
                </c:pt>
                <c:pt idx="572">
                  <c:v>343.63696666206755</c:v>
                </c:pt>
                <c:pt idx="573">
                  <c:v>345.02962398108417</c:v>
                </c:pt>
                <c:pt idx="574">
                  <c:v>346.42056471164705</c:v>
                </c:pt>
                <c:pt idx="575">
                  <c:v>347.80974566196613</c:v>
                </c:pt>
                <c:pt idx="576">
                  <c:v>349.19712361121447</c:v>
                </c:pt>
                <c:pt idx="577">
                  <c:v>350.58265533645061</c:v>
                </c:pt>
                <c:pt idx="578">
                  <c:v>351.96629763756908</c:v>
                </c:pt>
                <c:pt idx="579">
                  <c:v>353.34800736048152</c:v>
                </c:pt>
                <c:pt idx="580">
                  <c:v>354.72774141870826</c:v>
                </c:pt>
                <c:pt idx="581">
                  <c:v>356.10545681353727</c:v>
                </c:pt>
                <c:pt idx="582">
                  <c:v>357.48111065288975</c:v>
                </c:pt>
                <c:pt idx="583">
                  <c:v>358.85466016901427</c:v>
                </c:pt>
                <c:pt idx="584">
                  <c:v>360.22606273511803</c:v>
                </c:pt>
                <c:pt idx="585">
                  <c:v>361.59527588103106</c:v>
                </c:pt>
                <c:pt idx="586">
                  <c:v>362.96225730798722</c:v>
                </c:pt>
                <c:pt idx="587">
                  <c:v>364.32696490259843</c:v>
                </c:pt>
                <c:pt idx="588">
                  <c:v>365.68935675008771</c:v>
                </c:pt>
                <c:pt idx="589">
                  <c:v>367.04939114684095</c:v>
                </c:pt>
                <c:pt idx="590">
                  <c:v>368.4070266123303</c:v>
                </c:pt>
                <c:pt idx="591">
                  <c:v>369.76222190045604</c:v>
                </c:pt>
                <c:pt idx="592">
                  <c:v>371.11493601034942</c:v>
                </c:pt>
                <c:pt idx="593">
                  <c:v>372.4651281966739</c:v>
                </c:pt>
                <c:pt idx="594">
                  <c:v>373.81275797945847</c:v>
                </c:pt>
                <c:pt idx="595">
                  <c:v>375.15778515349371</c:v>
                </c:pt>
                <c:pt idx="596">
                  <c:v>376.50016979731748</c:v>
                </c:pt>
                <c:pt idx="597">
                  <c:v>377.83987228181491</c:v>
                </c:pt>
                <c:pt idx="598">
                  <c:v>379.17685327845459</c:v>
                </c:pt>
                <c:pt idx="599">
                  <c:v>380.51107376718113</c:v>
                </c:pt>
                <c:pt idx="600">
                  <c:v>381.84249504398178</c:v>
                </c:pt>
                <c:pt idx="601">
                  <c:v>383.17107872814375</c:v>
                </c:pt>
                <c:pt idx="602">
                  <c:v>384.4967867692169</c:v>
                </c:pt>
                <c:pt idx="603">
                  <c:v>385.81958145369504</c:v>
                </c:pt>
                <c:pt idx="604">
                  <c:v>387.13942541142814</c:v>
                </c:pt>
                <c:pt idx="605">
                  <c:v>388.45628162177701</c:v>
                </c:pt>
                <c:pt idx="606">
                  <c:v>389.77011341951976</c:v>
                </c:pt>
                <c:pt idx="607">
                  <c:v>391.08088450052026</c:v>
                </c:pt>
                <c:pt idx="608">
                  <c:v>392.38855892716617</c:v>
                </c:pt>
                <c:pt idx="609">
                  <c:v>393.69310113358546</c:v>
                </c:pt>
                <c:pt idx="610">
                  <c:v>394.9944759306473</c:v>
                </c:pt>
                <c:pt idx="611">
                  <c:v>396.29264851075516</c:v>
                </c:pt>
                <c:pt idx="612">
                  <c:v>397.58758445243757</c:v>
                </c:pt>
                <c:pt idx="613">
                  <c:v>398.87924972474195</c:v>
                </c:pt>
                <c:pt idx="614">
                  <c:v>400.16761069143786</c:v>
                </c:pt>
                <c:pt idx="615">
                  <c:v>401.45263411503299</c:v>
                </c:pt>
                <c:pt idx="616">
                  <c:v>402.73428716060795</c:v>
                </c:pt>
                <c:pt idx="617">
                  <c:v>404.01253739947316</c:v>
                </c:pt>
                <c:pt idx="618">
                  <c:v>405.28735281265199</c:v>
                </c:pt>
                <c:pt idx="619">
                  <c:v>406.55870179419423</c:v>
                </c:pt>
                <c:pt idx="620">
                  <c:v>407.82655315432311</c:v>
                </c:pt>
                <c:pt idx="621">
                  <c:v>409.09087612241916</c:v>
                </c:pt>
                <c:pt idx="622">
                  <c:v>410.35164034984433</c:v>
                </c:pt>
                <c:pt idx="623">
                  <c:v>411.60881591260926</c:v>
                </c:pt>
                <c:pt idx="624">
                  <c:v>412.86237331388634</c:v>
                </c:pt>
                <c:pt idx="625">
                  <c:v>414.11228348637161</c:v>
                </c:pt>
                <c:pt idx="626">
                  <c:v>415.35851779449803</c:v>
                </c:pt>
                <c:pt idx="627">
                  <c:v>416.60104803650233</c:v>
                </c:pt>
                <c:pt idx="628">
                  <c:v>417.83984644634847</c:v>
                </c:pt>
                <c:pt idx="629">
                  <c:v>419.07488569550941</c:v>
                </c:pt>
                <c:pt idx="630">
                  <c:v>420.30613889460989</c:v>
                </c:pt>
                <c:pt idx="631">
                  <c:v>421.53357959493229</c:v>
                </c:pt>
                <c:pt idx="632">
                  <c:v>422.75718178978769</c:v>
                </c:pt>
                <c:pt idx="633">
                  <c:v>423.97691991575419</c:v>
                </c:pt>
                <c:pt idx="634">
                  <c:v>425.19276885378468</c:v>
                </c:pt>
                <c:pt idx="635">
                  <c:v>426.40470393018592</c:v>
                </c:pt>
                <c:pt idx="636">
                  <c:v>427.61270091747099</c:v>
                </c:pt>
                <c:pt idx="637">
                  <c:v>428.81673603508727</c:v>
                </c:pt>
                <c:pt idx="638">
                  <c:v>430.01678595002119</c:v>
                </c:pt>
                <c:pt idx="639">
                  <c:v>431.21282777728243</c:v>
                </c:pt>
                <c:pt idx="640">
                  <c:v>432.40483908026897</c:v>
                </c:pt>
                <c:pt idx="641">
                  <c:v>433.59279787101508</c:v>
                </c:pt>
                <c:pt idx="642">
                  <c:v>434.7766826103238</c:v>
                </c:pt>
                <c:pt idx="643">
                  <c:v>435.95647220778619</c:v>
                </c:pt>
                <c:pt idx="644">
                  <c:v>437.13214602168853</c:v>
                </c:pt>
                <c:pt idx="645">
                  <c:v>438.30368385880996</c:v>
                </c:pt>
                <c:pt idx="646">
                  <c:v>439.47106597411192</c:v>
                </c:pt>
                <c:pt idx="647">
                  <c:v>440.63427307032129</c:v>
                </c:pt>
                <c:pt idx="648">
                  <c:v>441.79328629740894</c:v>
                </c:pt>
                <c:pt idx="649">
                  <c:v>442.94808725196566</c:v>
                </c:pt>
                <c:pt idx="650">
                  <c:v>444.09865797647706</c:v>
                </c:pt>
                <c:pt idx="651">
                  <c:v>445.24498095849924</c:v>
                </c:pt>
                <c:pt idx="652">
                  <c:v>446.38703912973727</c:v>
                </c:pt>
                <c:pt idx="653">
                  <c:v>447.52481586502756</c:v>
                </c:pt>
                <c:pt idx="654">
                  <c:v>448.65829498122679</c:v>
                </c:pt>
                <c:pt idx="655">
                  <c:v>449.78746073600848</c:v>
                </c:pt>
                <c:pt idx="656">
                  <c:v>450.91229782656916</c:v>
                </c:pt>
                <c:pt idx="657">
                  <c:v>452.03279138824598</c:v>
                </c:pt>
                <c:pt idx="658">
                  <c:v>453.1489269930475</c:v>
                </c:pt>
                <c:pt idx="659">
                  <c:v>454.26069064809923</c:v>
                </c:pt>
                <c:pt idx="660">
                  <c:v>455.36806879400615</c:v>
                </c:pt>
                <c:pt idx="661">
                  <c:v>456.47104830313305</c:v>
                </c:pt>
                <c:pt idx="662">
                  <c:v>457.56961647780565</c:v>
                </c:pt>
                <c:pt idx="663">
                  <c:v>458.66376104843329</c:v>
                </c:pt>
                <c:pt idx="664">
                  <c:v>459.75347017155514</c:v>
                </c:pt>
                <c:pt idx="665">
                  <c:v>460.83873242781209</c:v>
                </c:pt>
                <c:pt idx="666">
                  <c:v>461.91953681984569</c:v>
                </c:pt>
                <c:pt idx="667">
                  <c:v>462.99587277012574</c:v>
                </c:pt>
                <c:pt idx="668">
                  <c:v>464.06773011870882</c:v>
                </c:pt>
                <c:pt idx="669">
                  <c:v>465.13509912092877</c:v>
                </c:pt>
                <c:pt idx="670">
                  <c:v>466.1979704450215</c:v>
                </c:pt>
                <c:pt idx="671">
                  <c:v>467.25633516968549</c:v>
                </c:pt>
                <c:pt idx="672">
                  <c:v>468.31018478157961</c:v>
                </c:pt>
                <c:pt idx="673">
                  <c:v>469.35951117276039</c:v>
                </c:pt>
                <c:pt idx="674">
                  <c:v>470.40430663805989</c:v>
                </c:pt>
                <c:pt idx="675">
                  <c:v>471.44456387240638</c:v>
                </c:pt>
                <c:pt idx="676">
                  <c:v>472.48027596808913</c:v>
                </c:pt>
                <c:pt idx="677">
                  <c:v>473.51143641196921</c:v>
                </c:pt>
                <c:pt idx="678">
                  <c:v>474.53803908263785</c:v>
                </c:pt>
                <c:pt idx="679">
                  <c:v>475.56007824752402</c:v>
                </c:pt>
                <c:pt idx="680">
                  <c:v>476.57754855995302</c:v>
                </c:pt>
                <c:pt idx="681">
                  <c:v>477.59044505615759</c:v>
                </c:pt>
                <c:pt idx="682">
                  <c:v>478.59876315224324</c:v>
                </c:pt>
                <c:pt idx="683">
                  <c:v>479.60249864110926</c:v>
                </c:pt>
                <c:pt idx="684">
                  <c:v>480.60164768932719</c:v>
                </c:pt>
                <c:pt idx="685">
                  <c:v>481.59620683397844</c:v>
                </c:pt>
                <c:pt idx="686">
                  <c:v>482.58617297945216</c:v>
                </c:pt>
                <c:pt idx="687">
                  <c:v>483.57154339420572</c:v>
                </c:pt>
                <c:pt idx="688">
                  <c:v>484.55231570748845</c:v>
                </c:pt>
                <c:pt idx="689">
                  <c:v>485.52848790603099</c:v>
                </c:pt>
                <c:pt idx="690">
                  <c:v>486.50005833070117</c:v>
                </c:pt>
                <c:pt idx="691">
                  <c:v>487.46702567312832</c:v>
                </c:pt>
                <c:pt idx="692">
                  <c:v>488.42938897229737</c:v>
                </c:pt>
                <c:pt idx="693">
                  <c:v>489.38714761111419</c:v>
                </c:pt>
                <c:pt idx="694">
                  <c:v>490.34030131294372</c:v>
                </c:pt>
                <c:pt idx="695">
                  <c:v>491.28885013812226</c:v>
                </c:pt>
                <c:pt idx="696">
                  <c:v>492.23279448044542</c:v>
                </c:pt>
                <c:pt idx="697">
                  <c:v>493.17213506363316</c:v>
                </c:pt>
                <c:pt idx="698">
                  <c:v>494.10687293777323</c:v>
                </c:pt>
                <c:pt idx="699">
                  <c:v>495.03700947574453</c:v>
                </c:pt>
                <c:pt idx="700">
                  <c:v>495.96254636962158</c:v>
                </c:pt>
                <c:pt idx="701">
                  <c:v>496.88348562706159</c:v>
                </c:pt>
                <c:pt idx="702">
                  <c:v>497.79982956767549</c:v>
                </c:pt>
                <c:pt idx="703">
                  <c:v>498.7115808193841</c:v>
                </c:pt>
                <c:pt idx="704">
                  <c:v>499.61874231476082</c:v>
                </c:pt>
                <c:pt idx="705">
                  <c:v>500.52131728736208</c:v>
                </c:pt>
                <c:pt idx="706">
                  <c:v>501.41930926804685</c:v>
                </c:pt>
                <c:pt idx="707">
                  <c:v>502.31272208128627</c:v>
                </c:pt>
                <c:pt idx="708">
                  <c:v>503.20155984146504</c:v>
                </c:pt>
                <c:pt idx="709">
                  <c:v>504.08582694917527</c:v>
                </c:pt>
                <c:pt idx="710">
                  <c:v>504.96552808750425</c:v>
                </c:pt>
                <c:pt idx="711">
                  <c:v>505.84066821831721</c:v>
                </c:pt>
                <c:pt idx="712">
                  <c:v>506.71125257853629</c:v>
                </c:pt>
                <c:pt idx="713">
                  <c:v>507.5772866764168</c:v>
                </c:pt>
                <c:pt idx="714">
                  <c:v>508.43877628782172</c:v>
                </c:pt>
                <c:pt idx="715">
                  <c:v>509.29572745249578</c:v>
                </c:pt>
                <c:pt idx="716">
                  <c:v>510.14814647033984</c:v>
                </c:pt>
                <c:pt idx="717">
                  <c:v>510.99603989768713</c:v>
                </c:pt>
                <c:pt idx="718">
                  <c:v>511.83941454358177</c:v>
                </c:pt>
                <c:pt idx="719">
                  <c:v>512.67827746606088</c:v>
                </c:pt>
                <c:pt idx="720">
                  <c:v>513.51263596844126</c:v>
                </c:pt>
                <c:pt idx="721">
                  <c:v>514.34249759561158</c:v>
                </c:pt>
                <c:pt idx="722">
                  <c:v>515.16787013033081</c:v>
                </c:pt>
                <c:pt idx="723">
                  <c:v>515.98876158953419</c:v>
                </c:pt>
                <c:pt idx="724">
                  <c:v>516.80518022064712</c:v>
                </c:pt>
                <c:pt idx="725">
                  <c:v>517.61713449790852</c:v>
                </c:pt>
                <c:pt idx="726">
                  <c:v>518.4246331187037</c:v>
                </c:pt>
                <c:pt idx="727">
                  <c:v>519.22768499990821</c:v>
                </c:pt>
                <c:pt idx="728">
                  <c:v>520.02629927424312</c:v>
                </c:pt>
                <c:pt idx="729">
                  <c:v>520.82048528664291</c:v>
                </c:pt>
                <c:pt idx="730">
                  <c:v>521.61025259063615</c:v>
                </c:pt>
                <c:pt idx="731">
                  <c:v>522.39561094474038</c:v>
                </c:pt>
                <c:pt idx="732">
                  <c:v>523.17657030887131</c:v>
                </c:pt>
                <c:pt idx="733">
                  <c:v>523.95314084076733</c:v>
                </c:pt>
                <c:pt idx="734">
                  <c:v>524.72533289243029</c:v>
                </c:pt>
                <c:pt idx="735">
                  <c:v>525.49315700658269</c:v>
                </c:pt>
                <c:pt idx="736">
                  <c:v>526.25662391314222</c:v>
                </c:pt>
                <c:pt idx="737">
                  <c:v>527.01574452571413</c:v>
                </c:pt>
                <c:pt idx="738">
                  <c:v>527.77052993810264</c:v>
                </c:pt>
                <c:pt idx="739">
                  <c:v>528.5209914208408</c:v>
                </c:pt>
                <c:pt idx="740">
                  <c:v>529.26714041774051</c:v>
                </c:pt>
                <c:pt idx="741">
                  <c:v>530.00898854246282</c:v>
                </c:pt>
                <c:pt idx="742">
                  <c:v>530.74654757510882</c:v>
                </c:pt>
                <c:pt idx="743">
                  <c:v>531.47982945883177</c:v>
                </c:pt>
                <c:pt idx="744">
                  <c:v>532.20884629647139</c:v>
                </c:pt>
                <c:pt idx="745">
                  <c:v>532.93361034721033</c:v>
                </c:pt>
                <c:pt idx="746">
                  <c:v>533.65413402325316</c:v>
                </c:pt>
                <c:pt idx="747">
                  <c:v>534.37042988652877</c:v>
                </c:pt>
                <c:pt idx="748">
                  <c:v>535.08251064541639</c:v>
                </c:pt>
                <c:pt idx="749">
                  <c:v>535.79038915149567</c:v>
                </c:pt>
                <c:pt idx="750">
                  <c:v>536.49407839632113</c:v>
                </c:pt>
                <c:pt idx="751">
                  <c:v>537.1935915082214</c:v>
                </c:pt>
                <c:pt idx="752">
                  <c:v>537.88894174912377</c:v>
                </c:pt>
                <c:pt idx="753">
                  <c:v>538.58014251140389</c:v>
                </c:pt>
                <c:pt idx="754">
                  <c:v>539.267207314762</c:v>
                </c:pt>
                <c:pt idx="755">
                  <c:v>539.267207314762</c:v>
                </c:pt>
                <c:pt idx="756">
                  <c:v>539.267207314762</c:v>
                </c:pt>
                <c:pt idx="757">
                  <c:v>539.267207314762</c:v>
                </c:pt>
                <c:pt idx="758">
                  <c:v>539.267207314762</c:v>
                </c:pt>
                <c:pt idx="759">
                  <c:v>539.267207314762</c:v>
                </c:pt>
                <c:pt idx="760">
                  <c:v>539.267207314762</c:v>
                </c:pt>
                <c:pt idx="761">
                  <c:v>539.267207314762</c:v>
                </c:pt>
                <c:pt idx="762">
                  <c:v>539.267207314762</c:v>
                </c:pt>
                <c:pt idx="763">
                  <c:v>539.267207314762</c:v>
                </c:pt>
                <c:pt idx="764">
                  <c:v>539.267207314762</c:v>
                </c:pt>
                <c:pt idx="765">
                  <c:v>539.267207314762</c:v>
                </c:pt>
                <c:pt idx="766">
                  <c:v>539.267207314762</c:v>
                </c:pt>
                <c:pt idx="767">
                  <c:v>539.267207314762</c:v>
                </c:pt>
                <c:pt idx="768">
                  <c:v>539.267207314762</c:v>
                </c:pt>
                <c:pt idx="769">
                  <c:v>539.267207314762</c:v>
                </c:pt>
                <c:pt idx="770">
                  <c:v>539.267207314762</c:v>
                </c:pt>
                <c:pt idx="771">
                  <c:v>539.267207314762</c:v>
                </c:pt>
                <c:pt idx="772">
                  <c:v>539.267207314762</c:v>
                </c:pt>
                <c:pt idx="773">
                  <c:v>539.267207314762</c:v>
                </c:pt>
                <c:pt idx="774">
                  <c:v>539.267207314762</c:v>
                </c:pt>
                <c:pt idx="775">
                  <c:v>539.267207314762</c:v>
                </c:pt>
                <c:pt idx="776">
                  <c:v>539.267207314762</c:v>
                </c:pt>
                <c:pt idx="777">
                  <c:v>539.267207314762</c:v>
                </c:pt>
                <c:pt idx="778">
                  <c:v>539.267207314762</c:v>
                </c:pt>
                <c:pt idx="779">
                  <c:v>539.267207314762</c:v>
                </c:pt>
                <c:pt idx="780">
                  <c:v>539.267207314762</c:v>
                </c:pt>
                <c:pt idx="781">
                  <c:v>539.267207314762</c:v>
                </c:pt>
                <c:pt idx="782">
                  <c:v>539.267207314762</c:v>
                </c:pt>
                <c:pt idx="783">
                  <c:v>539.267207314762</c:v>
                </c:pt>
                <c:pt idx="784">
                  <c:v>539.267207314762</c:v>
                </c:pt>
                <c:pt idx="785">
                  <c:v>539.267207314762</c:v>
                </c:pt>
                <c:pt idx="786">
                  <c:v>539.267207314762</c:v>
                </c:pt>
                <c:pt idx="787">
                  <c:v>539.267207314762</c:v>
                </c:pt>
                <c:pt idx="788">
                  <c:v>539.267207314762</c:v>
                </c:pt>
                <c:pt idx="789">
                  <c:v>539.267207314762</c:v>
                </c:pt>
                <c:pt idx="790">
                  <c:v>539.267207314762</c:v>
                </c:pt>
                <c:pt idx="791">
                  <c:v>539.267207314762</c:v>
                </c:pt>
                <c:pt idx="792">
                  <c:v>539.267207314762</c:v>
                </c:pt>
                <c:pt idx="793">
                  <c:v>539.267207314762</c:v>
                </c:pt>
                <c:pt idx="794">
                  <c:v>539.267207314762</c:v>
                </c:pt>
                <c:pt idx="795">
                  <c:v>539.267207314762</c:v>
                </c:pt>
                <c:pt idx="796">
                  <c:v>539.267207314762</c:v>
                </c:pt>
                <c:pt idx="797">
                  <c:v>539.267207314762</c:v>
                </c:pt>
                <c:pt idx="798">
                  <c:v>539.267207314762</c:v>
                </c:pt>
                <c:pt idx="799">
                  <c:v>539.267207314762</c:v>
                </c:pt>
                <c:pt idx="800">
                  <c:v>539.267207314762</c:v>
                </c:pt>
                <c:pt idx="801">
                  <c:v>539.267207314762</c:v>
                </c:pt>
                <c:pt idx="802">
                  <c:v>539.267207314762</c:v>
                </c:pt>
                <c:pt idx="803">
                  <c:v>539.267207314762</c:v>
                </c:pt>
                <c:pt idx="804">
                  <c:v>539.267207314762</c:v>
                </c:pt>
                <c:pt idx="805">
                  <c:v>539.267207314762</c:v>
                </c:pt>
                <c:pt idx="806">
                  <c:v>539.267207314762</c:v>
                </c:pt>
                <c:pt idx="807">
                  <c:v>539.267207314762</c:v>
                </c:pt>
                <c:pt idx="808">
                  <c:v>539.267207314762</c:v>
                </c:pt>
                <c:pt idx="809">
                  <c:v>539.267207314762</c:v>
                </c:pt>
                <c:pt idx="810">
                  <c:v>539.267207314762</c:v>
                </c:pt>
                <c:pt idx="811">
                  <c:v>539.267207314762</c:v>
                </c:pt>
                <c:pt idx="812">
                  <c:v>539.267207314762</c:v>
                </c:pt>
                <c:pt idx="813">
                  <c:v>539.267207314762</c:v>
                </c:pt>
                <c:pt idx="814">
                  <c:v>539.267207314762</c:v>
                </c:pt>
                <c:pt idx="815">
                  <c:v>539.267207314762</c:v>
                </c:pt>
                <c:pt idx="816">
                  <c:v>539.267207314762</c:v>
                </c:pt>
                <c:pt idx="817">
                  <c:v>539.267207314762</c:v>
                </c:pt>
                <c:pt idx="818">
                  <c:v>539.267207314762</c:v>
                </c:pt>
                <c:pt idx="819">
                  <c:v>539.267207314762</c:v>
                </c:pt>
                <c:pt idx="820">
                  <c:v>539.267207314762</c:v>
                </c:pt>
                <c:pt idx="821">
                  <c:v>539.267207314762</c:v>
                </c:pt>
                <c:pt idx="822">
                  <c:v>539.267207314762</c:v>
                </c:pt>
                <c:pt idx="823">
                  <c:v>539.267207314762</c:v>
                </c:pt>
                <c:pt idx="824">
                  <c:v>539.267207314762</c:v>
                </c:pt>
                <c:pt idx="825">
                  <c:v>539.267207314762</c:v>
                </c:pt>
                <c:pt idx="826">
                  <c:v>539.267207314762</c:v>
                </c:pt>
                <c:pt idx="827">
                  <c:v>539.267207314762</c:v>
                </c:pt>
                <c:pt idx="828">
                  <c:v>539.267207314762</c:v>
                </c:pt>
                <c:pt idx="829">
                  <c:v>539.267207314762</c:v>
                </c:pt>
                <c:pt idx="830">
                  <c:v>539.267207314762</c:v>
                </c:pt>
                <c:pt idx="831">
                  <c:v>539.267207314762</c:v>
                </c:pt>
                <c:pt idx="832">
                  <c:v>539.267207314762</c:v>
                </c:pt>
                <c:pt idx="833">
                  <c:v>539.267207314762</c:v>
                </c:pt>
                <c:pt idx="834">
                  <c:v>539.267207314762</c:v>
                </c:pt>
                <c:pt idx="835">
                  <c:v>539.267207314762</c:v>
                </c:pt>
                <c:pt idx="836">
                  <c:v>539.267207314762</c:v>
                </c:pt>
                <c:pt idx="837">
                  <c:v>539.267207314762</c:v>
                </c:pt>
                <c:pt idx="838">
                  <c:v>539.267207314762</c:v>
                </c:pt>
                <c:pt idx="839">
                  <c:v>539.267207314762</c:v>
                </c:pt>
                <c:pt idx="840">
                  <c:v>539.267207314762</c:v>
                </c:pt>
                <c:pt idx="841">
                  <c:v>539.267207314762</c:v>
                </c:pt>
                <c:pt idx="842">
                  <c:v>539.267207314762</c:v>
                </c:pt>
                <c:pt idx="843">
                  <c:v>539.267207314762</c:v>
                </c:pt>
                <c:pt idx="844">
                  <c:v>539.267207314762</c:v>
                </c:pt>
                <c:pt idx="845">
                  <c:v>539.267207314762</c:v>
                </c:pt>
                <c:pt idx="846">
                  <c:v>539.267207314762</c:v>
                </c:pt>
                <c:pt idx="847">
                  <c:v>539.267207314762</c:v>
                </c:pt>
                <c:pt idx="848">
                  <c:v>539.267207314762</c:v>
                </c:pt>
                <c:pt idx="849">
                  <c:v>539.267207314762</c:v>
                </c:pt>
                <c:pt idx="850">
                  <c:v>539.267207314762</c:v>
                </c:pt>
                <c:pt idx="851">
                  <c:v>539.267207314762</c:v>
                </c:pt>
                <c:pt idx="852">
                  <c:v>539.267207314762</c:v>
                </c:pt>
                <c:pt idx="853">
                  <c:v>539.267207314762</c:v>
                </c:pt>
                <c:pt idx="854">
                  <c:v>539.267207314762</c:v>
                </c:pt>
                <c:pt idx="855">
                  <c:v>539.267207314762</c:v>
                </c:pt>
                <c:pt idx="856">
                  <c:v>539.267207314762</c:v>
                </c:pt>
                <c:pt idx="857">
                  <c:v>539.267207314762</c:v>
                </c:pt>
                <c:pt idx="858">
                  <c:v>539.267207314762</c:v>
                </c:pt>
                <c:pt idx="859">
                  <c:v>539.267207314762</c:v>
                </c:pt>
                <c:pt idx="860">
                  <c:v>539.267207314762</c:v>
                </c:pt>
                <c:pt idx="861">
                  <c:v>539.267207314762</c:v>
                </c:pt>
                <c:pt idx="862">
                  <c:v>539.267207314762</c:v>
                </c:pt>
                <c:pt idx="863">
                  <c:v>539.267207314762</c:v>
                </c:pt>
                <c:pt idx="864">
                  <c:v>539.267207314762</c:v>
                </c:pt>
                <c:pt idx="865">
                  <c:v>539.267207314762</c:v>
                </c:pt>
                <c:pt idx="866">
                  <c:v>539.267207314762</c:v>
                </c:pt>
                <c:pt idx="867">
                  <c:v>539.267207314762</c:v>
                </c:pt>
                <c:pt idx="868">
                  <c:v>539.267207314762</c:v>
                </c:pt>
                <c:pt idx="869">
                  <c:v>539.267207314762</c:v>
                </c:pt>
                <c:pt idx="870">
                  <c:v>539.267207314762</c:v>
                </c:pt>
                <c:pt idx="871">
                  <c:v>539.267207314762</c:v>
                </c:pt>
                <c:pt idx="872">
                  <c:v>539.267207314762</c:v>
                </c:pt>
                <c:pt idx="873">
                  <c:v>539.267207314762</c:v>
                </c:pt>
                <c:pt idx="874">
                  <c:v>539.267207314762</c:v>
                </c:pt>
                <c:pt idx="875">
                  <c:v>539.267207314762</c:v>
                </c:pt>
                <c:pt idx="876">
                  <c:v>539.267207314762</c:v>
                </c:pt>
                <c:pt idx="877">
                  <c:v>539.267207314762</c:v>
                </c:pt>
                <c:pt idx="878">
                  <c:v>539.267207314762</c:v>
                </c:pt>
                <c:pt idx="879">
                  <c:v>539.267207314762</c:v>
                </c:pt>
                <c:pt idx="880">
                  <c:v>539.267207314762</c:v>
                </c:pt>
                <c:pt idx="881">
                  <c:v>539.267207314762</c:v>
                </c:pt>
                <c:pt idx="882">
                  <c:v>539.267207314762</c:v>
                </c:pt>
                <c:pt idx="883">
                  <c:v>539.267207314762</c:v>
                </c:pt>
                <c:pt idx="884">
                  <c:v>539.267207314762</c:v>
                </c:pt>
                <c:pt idx="885">
                  <c:v>539.267207314762</c:v>
                </c:pt>
                <c:pt idx="886">
                  <c:v>539.267207314762</c:v>
                </c:pt>
                <c:pt idx="887">
                  <c:v>539.267207314762</c:v>
                </c:pt>
                <c:pt idx="888">
                  <c:v>539.267207314762</c:v>
                </c:pt>
                <c:pt idx="889">
                  <c:v>539.267207314762</c:v>
                </c:pt>
                <c:pt idx="890">
                  <c:v>539.267207314762</c:v>
                </c:pt>
                <c:pt idx="891">
                  <c:v>539.267207314762</c:v>
                </c:pt>
                <c:pt idx="892">
                  <c:v>539.267207314762</c:v>
                </c:pt>
                <c:pt idx="893">
                  <c:v>539.267207314762</c:v>
                </c:pt>
                <c:pt idx="894">
                  <c:v>539.267207314762</c:v>
                </c:pt>
                <c:pt idx="895">
                  <c:v>539.267207314762</c:v>
                </c:pt>
                <c:pt idx="896">
                  <c:v>539.267207314762</c:v>
                </c:pt>
                <c:pt idx="897">
                  <c:v>539.267207314762</c:v>
                </c:pt>
                <c:pt idx="898">
                  <c:v>539.267207314762</c:v>
                </c:pt>
                <c:pt idx="899">
                  <c:v>539.267207314762</c:v>
                </c:pt>
                <c:pt idx="900">
                  <c:v>539.267207314762</c:v>
                </c:pt>
                <c:pt idx="901">
                  <c:v>539.267207314762</c:v>
                </c:pt>
                <c:pt idx="902">
                  <c:v>539.267207314762</c:v>
                </c:pt>
                <c:pt idx="903">
                  <c:v>539.267207314762</c:v>
                </c:pt>
                <c:pt idx="904">
                  <c:v>539.267207314762</c:v>
                </c:pt>
                <c:pt idx="905">
                  <c:v>539.267207314762</c:v>
                </c:pt>
                <c:pt idx="906">
                  <c:v>539.267207314762</c:v>
                </c:pt>
                <c:pt idx="907">
                  <c:v>539.267207314762</c:v>
                </c:pt>
                <c:pt idx="908">
                  <c:v>539.267207314762</c:v>
                </c:pt>
                <c:pt idx="909">
                  <c:v>539.267207314762</c:v>
                </c:pt>
                <c:pt idx="910">
                  <c:v>539.267207314762</c:v>
                </c:pt>
                <c:pt idx="911">
                  <c:v>539.267207314762</c:v>
                </c:pt>
                <c:pt idx="912">
                  <c:v>539.267207314762</c:v>
                </c:pt>
                <c:pt idx="913">
                  <c:v>539.267207314762</c:v>
                </c:pt>
                <c:pt idx="914">
                  <c:v>539.267207314762</c:v>
                </c:pt>
                <c:pt idx="915">
                  <c:v>539.267207314762</c:v>
                </c:pt>
                <c:pt idx="916">
                  <c:v>539.267207314762</c:v>
                </c:pt>
                <c:pt idx="917">
                  <c:v>539.267207314762</c:v>
                </c:pt>
                <c:pt idx="918">
                  <c:v>539.267207314762</c:v>
                </c:pt>
                <c:pt idx="919">
                  <c:v>539.267207314762</c:v>
                </c:pt>
                <c:pt idx="920">
                  <c:v>539.267207314762</c:v>
                </c:pt>
                <c:pt idx="921">
                  <c:v>539.267207314762</c:v>
                </c:pt>
                <c:pt idx="922">
                  <c:v>539.267207314762</c:v>
                </c:pt>
                <c:pt idx="923">
                  <c:v>539.267207314762</c:v>
                </c:pt>
                <c:pt idx="924">
                  <c:v>539.267207314762</c:v>
                </c:pt>
                <c:pt idx="925">
                  <c:v>539.267207314762</c:v>
                </c:pt>
                <c:pt idx="926">
                  <c:v>539.267207314762</c:v>
                </c:pt>
                <c:pt idx="927">
                  <c:v>539.267207314762</c:v>
                </c:pt>
                <c:pt idx="928">
                  <c:v>539.267207314762</c:v>
                </c:pt>
                <c:pt idx="929">
                  <c:v>539.267207314762</c:v>
                </c:pt>
                <c:pt idx="930">
                  <c:v>539.267207314762</c:v>
                </c:pt>
                <c:pt idx="931">
                  <c:v>539.267207314762</c:v>
                </c:pt>
                <c:pt idx="932">
                  <c:v>539.267207314762</c:v>
                </c:pt>
                <c:pt idx="933">
                  <c:v>539.267207314762</c:v>
                </c:pt>
                <c:pt idx="934">
                  <c:v>539.267207314762</c:v>
                </c:pt>
                <c:pt idx="935">
                  <c:v>539.267207314762</c:v>
                </c:pt>
                <c:pt idx="936">
                  <c:v>539.267207314762</c:v>
                </c:pt>
                <c:pt idx="937">
                  <c:v>539.267207314762</c:v>
                </c:pt>
                <c:pt idx="938">
                  <c:v>539.267207314762</c:v>
                </c:pt>
                <c:pt idx="939">
                  <c:v>539.267207314762</c:v>
                </c:pt>
                <c:pt idx="940">
                  <c:v>539.267207314762</c:v>
                </c:pt>
                <c:pt idx="941">
                  <c:v>539.267207314762</c:v>
                </c:pt>
                <c:pt idx="942">
                  <c:v>539.267207314762</c:v>
                </c:pt>
                <c:pt idx="943">
                  <c:v>539.267207314762</c:v>
                </c:pt>
                <c:pt idx="944">
                  <c:v>539.267207314762</c:v>
                </c:pt>
                <c:pt idx="945">
                  <c:v>539.267207314762</c:v>
                </c:pt>
                <c:pt idx="946">
                  <c:v>539.267207314762</c:v>
                </c:pt>
                <c:pt idx="947">
                  <c:v>539.267207314762</c:v>
                </c:pt>
                <c:pt idx="948">
                  <c:v>539.267207314762</c:v>
                </c:pt>
                <c:pt idx="949">
                  <c:v>539.267207314762</c:v>
                </c:pt>
                <c:pt idx="950">
                  <c:v>539.267207314762</c:v>
                </c:pt>
                <c:pt idx="951">
                  <c:v>539.267207314762</c:v>
                </c:pt>
                <c:pt idx="952">
                  <c:v>539.267207314762</c:v>
                </c:pt>
                <c:pt idx="953">
                  <c:v>539.267207314762</c:v>
                </c:pt>
                <c:pt idx="954">
                  <c:v>539.267207314762</c:v>
                </c:pt>
                <c:pt idx="955">
                  <c:v>539.267207314762</c:v>
                </c:pt>
                <c:pt idx="956">
                  <c:v>539.267207314762</c:v>
                </c:pt>
                <c:pt idx="957">
                  <c:v>539.267207314762</c:v>
                </c:pt>
                <c:pt idx="958">
                  <c:v>539.267207314762</c:v>
                </c:pt>
                <c:pt idx="959">
                  <c:v>539.267207314762</c:v>
                </c:pt>
                <c:pt idx="960">
                  <c:v>539.267207314762</c:v>
                </c:pt>
                <c:pt idx="961">
                  <c:v>539.267207314762</c:v>
                </c:pt>
                <c:pt idx="962">
                  <c:v>539.267207314762</c:v>
                </c:pt>
                <c:pt idx="963">
                  <c:v>539.267207314762</c:v>
                </c:pt>
                <c:pt idx="964">
                  <c:v>539.267207314762</c:v>
                </c:pt>
                <c:pt idx="965">
                  <c:v>539.267207314762</c:v>
                </c:pt>
                <c:pt idx="966">
                  <c:v>539.267207314762</c:v>
                </c:pt>
                <c:pt idx="967">
                  <c:v>539.267207314762</c:v>
                </c:pt>
                <c:pt idx="968">
                  <c:v>539.267207314762</c:v>
                </c:pt>
                <c:pt idx="969">
                  <c:v>539.267207314762</c:v>
                </c:pt>
                <c:pt idx="970">
                  <c:v>539.267207314762</c:v>
                </c:pt>
                <c:pt idx="971">
                  <c:v>539.267207314762</c:v>
                </c:pt>
                <c:pt idx="972">
                  <c:v>539.267207314762</c:v>
                </c:pt>
                <c:pt idx="973">
                  <c:v>539.267207314762</c:v>
                </c:pt>
                <c:pt idx="974">
                  <c:v>539.267207314762</c:v>
                </c:pt>
                <c:pt idx="975">
                  <c:v>539.267207314762</c:v>
                </c:pt>
                <c:pt idx="976">
                  <c:v>539.267207314762</c:v>
                </c:pt>
                <c:pt idx="977">
                  <c:v>539.267207314762</c:v>
                </c:pt>
                <c:pt idx="978">
                  <c:v>539.267207314762</c:v>
                </c:pt>
                <c:pt idx="979">
                  <c:v>539.267207314762</c:v>
                </c:pt>
                <c:pt idx="980">
                  <c:v>539.267207314762</c:v>
                </c:pt>
                <c:pt idx="981">
                  <c:v>539.267207314762</c:v>
                </c:pt>
                <c:pt idx="982">
                  <c:v>539.267207314762</c:v>
                </c:pt>
                <c:pt idx="983">
                  <c:v>539.267207314762</c:v>
                </c:pt>
                <c:pt idx="984">
                  <c:v>539.267207314762</c:v>
                </c:pt>
                <c:pt idx="985">
                  <c:v>539.267207314762</c:v>
                </c:pt>
                <c:pt idx="986">
                  <c:v>539.267207314762</c:v>
                </c:pt>
                <c:pt idx="987">
                  <c:v>539.267207314762</c:v>
                </c:pt>
                <c:pt idx="988">
                  <c:v>539.267207314762</c:v>
                </c:pt>
                <c:pt idx="989">
                  <c:v>539.267207314762</c:v>
                </c:pt>
                <c:pt idx="990">
                  <c:v>539.267207314762</c:v>
                </c:pt>
                <c:pt idx="991">
                  <c:v>539.267207314762</c:v>
                </c:pt>
                <c:pt idx="992">
                  <c:v>539.267207314762</c:v>
                </c:pt>
                <c:pt idx="993">
                  <c:v>539.267207314762</c:v>
                </c:pt>
                <c:pt idx="994">
                  <c:v>539.267207314762</c:v>
                </c:pt>
                <c:pt idx="995">
                  <c:v>539.267207314762</c:v>
                </c:pt>
                <c:pt idx="996">
                  <c:v>539.267207314762</c:v>
                </c:pt>
                <c:pt idx="997">
                  <c:v>539.267207314762</c:v>
                </c:pt>
                <c:pt idx="998">
                  <c:v>539.267207314762</c:v>
                </c:pt>
                <c:pt idx="999">
                  <c:v>539.267207314762</c:v>
                </c:pt>
                <c:pt idx="1000">
                  <c:v>539.267207314762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02-4CA2-BA56-E0E46E48A268}"/>
            </c:ext>
          </c:extLst>
        </c:ser>
        <c:ser>
          <c:idx val="6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Trajecto!$D$155</c:f>
              <c:numCache>
                <c:formatCode>0</c:formatCode>
                <c:ptCount val="1"/>
                <c:pt idx="0">
                  <c:v>87.991574409392271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838.0250570246086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02-4CA2-BA56-E0E46E48A268}"/>
            </c:ext>
          </c:extLst>
        </c:ser>
        <c:ser>
          <c:idx val="7"/>
          <c:order val="6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Trajecto!$D$156</c:f>
              <c:numCache>
                <c:formatCode>0</c:formatCode>
                <c:ptCount val="1"/>
                <c:pt idx="0">
                  <c:v>459.93083882898475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869.22304883396419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2-4CA2-BA56-E0E46E48A268}"/>
            </c:ext>
          </c:extLst>
        </c:ser>
        <c:ser>
          <c:idx val="8"/>
          <c:order val="7"/>
          <c:tx>
            <c:strRef>
              <c:f>Trajecto!$D$158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8"/>
              <c:tx>
                <c:strRef>
                  <c:f>Trajecto!$D$158</c:f>
                  <c:strCache>
                    <c:ptCount val="1"/>
                    <c:pt idx="0">
                      <c:v>Arc de triomphe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{F274FDE0-CEDC-49EC-B4AC-C99CC10E6426}</c15:txfldGUID>
                      <c15:f>Trajecto!$D$158</c15:f>
                      <c15:dlblFieldTableCache>
                        <c:ptCount val="1"/>
                        <c:pt idx="0">
                          <c:v>Arc de triomphe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302-4CA2-BA56-E0E46E48A26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Trajecto!$D$159:$D$174</c:f>
              <c:numCache>
                <c:formatCode>0</c:formatCode>
                <c:ptCount val="16"/>
                <c:pt idx="0">
                  <c:v>301.25810185743023</c:v>
                </c:pt>
                <c:pt idx="1">
                  <c:v>324.25810185743023</c:v>
                </c:pt>
                <c:pt idx="2">
                  <c:v>324.25810185743023</c:v>
                </c:pt>
                <c:pt idx="3">
                  <c:v>301.25810185743023</c:v>
                </c:pt>
                <c:pt idx="4">
                  <c:v>324.25810185743023</c:v>
                </c:pt>
                <c:pt idx="5">
                  <c:v>324.25810185743023</c:v>
                </c:pt>
                <c:pt idx="6">
                  <c:v>309.25810185743023</c:v>
                </c:pt>
                <c:pt idx="7">
                  <c:v>309.25810185743023</c:v>
                </c:pt>
                <c:pt idx="8">
                  <c:v>324.25810185743023</c:v>
                </c:pt>
                <c:pt idx="9">
                  <c:v>309.25810185743023</c:v>
                </c:pt>
                <c:pt idx="10">
                  <c:v>308.85810185743026</c:v>
                </c:pt>
                <c:pt idx="11">
                  <c:v>308.05810185743024</c:v>
                </c:pt>
                <c:pt idx="12">
                  <c:v>307.25810185743023</c:v>
                </c:pt>
                <c:pt idx="13">
                  <c:v>306.25810185743023</c:v>
                </c:pt>
                <c:pt idx="14">
                  <c:v>305.05810185743024</c:v>
                </c:pt>
                <c:pt idx="15">
                  <c:v>301.25810185743023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2-4CA2-BA56-E0E46E48A268}"/>
            </c:ext>
          </c:extLst>
        </c:ser>
        <c:ser>
          <c:idx val="9"/>
          <c:order val="8"/>
          <c:tx>
            <c:strRef>
              <c:f>Trajecto!$F$158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Trajecto!$F$159:$F$174</c:f>
              <c:numCache>
                <c:formatCode>0</c:formatCode>
                <c:ptCount val="16"/>
                <c:pt idx="0">
                  <c:v>301.25810185743023</c:v>
                </c:pt>
                <c:pt idx="1">
                  <c:v>278.25810185743023</c:v>
                </c:pt>
                <c:pt idx="2">
                  <c:v>278.25810185743023</c:v>
                </c:pt>
                <c:pt idx="3">
                  <c:v>301.25810185743023</c:v>
                </c:pt>
                <c:pt idx="4">
                  <c:v>278.25810185743023</c:v>
                </c:pt>
                <c:pt idx="5">
                  <c:v>278.25810185743023</c:v>
                </c:pt>
                <c:pt idx="6">
                  <c:v>293.25810185743023</c:v>
                </c:pt>
                <c:pt idx="7">
                  <c:v>293.25810185743023</c:v>
                </c:pt>
                <c:pt idx="8">
                  <c:v>278.25810185743023</c:v>
                </c:pt>
                <c:pt idx="9">
                  <c:v>293.25810185743023</c:v>
                </c:pt>
                <c:pt idx="10">
                  <c:v>293.65810185743021</c:v>
                </c:pt>
                <c:pt idx="11">
                  <c:v>294.45810185743022</c:v>
                </c:pt>
                <c:pt idx="12">
                  <c:v>295.25810185743023</c:v>
                </c:pt>
                <c:pt idx="13">
                  <c:v>296.25810185743023</c:v>
                </c:pt>
                <c:pt idx="14">
                  <c:v>297.45810185743022</c:v>
                </c:pt>
                <c:pt idx="15">
                  <c:v>301.25810185743023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2-4CA2-BA56-E0E46E48A268}"/>
            </c:ext>
          </c:extLst>
        </c:ser>
        <c:ser>
          <c:idx val="10"/>
          <c:order val="9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6"/>
              <c:tx>
                <c:strRef>
                  <c:f>Trajecto!$D$176</c:f>
                  <c:strCache>
                    <c:ptCount val="1"/>
                    <c:pt idx="0">
                      <c:v>Tour Eiffel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{4CAF1782-EE8A-4BDA-9834-7234A0F1D52B}</c15:txfldGUID>
                      <c15:f>Trajecto!$D$176</c15:f>
                      <c15:dlblFieldTableCache>
                        <c:ptCount val="1"/>
                        <c:pt idx="0">
                          <c:v>Tour Eiffel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B302-4CA2-BA56-E0E46E48A26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Trajecto!$D$177:$D$193</c:f>
              <c:numCache>
                <c:formatCode>0</c:formatCode>
                <c:ptCount val="17"/>
                <c:pt idx="0">
                  <c:v>301.25810185743023</c:v>
                </c:pt>
                <c:pt idx="1">
                  <c:v>301.25810185743023</c:v>
                </c:pt>
                <c:pt idx="2">
                  <c:v>311.25810185743023</c:v>
                </c:pt>
                <c:pt idx="3">
                  <c:v>301.25810185743023</c:v>
                </c:pt>
                <c:pt idx="4">
                  <c:v>311.25810185743023</c:v>
                </c:pt>
                <c:pt idx="5">
                  <c:v>314.25810185743023</c:v>
                </c:pt>
                <c:pt idx="6">
                  <c:v>318.25810185743023</c:v>
                </c:pt>
                <c:pt idx="7">
                  <c:v>321.25810185743023</c:v>
                </c:pt>
                <c:pt idx="8">
                  <c:v>326.25810185743023</c:v>
                </c:pt>
                <c:pt idx="9">
                  <c:v>331.25810185743023</c:v>
                </c:pt>
                <c:pt idx="10">
                  <c:v>337.25810185743023</c:v>
                </c:pt>
                <c:pt idx="11">
                  <c:v>349.25810185743023</c:v>
                </c:pt>
                <c:pt idx="12">
                  <c:v>363.25810185743023</c:v>
                </c:pt>
                <c:pt idx="13">
                  <c:v>338.25810185743023</c:v>
                </c:pt>
                <c:pt idx="14">
                  <c:v>331.25810185743023</c:v>
                </c:pt>
                <c:pt idx="15">
                  <c:v>316.25810185743023</c:v>
                </c:pt>
                <c:pt idx="16">
                  <c:v>301.25810185743023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302-4CA2-BA56-E0E46E48A268}"/>
            </c:ext>
          </c:extLst>
        </c:ser>
        <c:ser>
          <c:idx val="11"/>
          <c:order val="10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Trajecto!$F$177:$F$193</c:f>
              <c:numCache>
                <c:formatCode>0</c:formatCode>
                <c:ptCount val="17"/>
                <c:pt idx="0">
                  <c:v>301.25810185743023</c:v>
                </c:pt>
                <c:pt idx="1">
                  <c:v>301.25810185743023</c:v>
                </c:pt>
                <c:pt idx="2">
                  <c:v>291.25810185743023</c:v>
                </c:pt>
                <c:pt idx="3">
                  <c:v>301.25810185743023</c:v>
                </c:pt>
                <c:pt idx="4">
                  <c:v>291.25810185743023</c:v>
                </c:pt>
                <c:pt idx="5">
                  <c:v>288.25810185743023</c:v>
                </c:pt>
                <c:pt idx="6">
                  <c:v>284.25810185743023</c:v>
                </c:pt>
                <c:pt idx="7">
                  <c:v>281.25810185743023</c:v>
                </c:pt>
                <c:pt idx="8">
                  <c:v>276.25810185743023</c:v>
                </c:pt>
                <c:pt idx="9">
                  <c:v>271.25810185743023</c:v>
                </c:pt>
                <c:pt idx="10">
                  <c:v>265.25810185743023</c:v>
                </c:pt>
                <c:pt idx="11">
                  <c:v>253.25810185743023</c:v>
                </c:pt>
                <c:pt idx="12">
                  <c:v>239.25810185743023</c:v>
                </c:pt>
                <c:pt idx="13">
                  <c:v>264.25810185743023</c:v>
                </c:pt>
                <c:pt idx="14">
                  <c:v>271.25810185743023</c:v>
                </c:pt>
                <c:pt idx="15">
                  <c:v>286.25810185743023</c:v>
                </c:pt>
                <c:pt idx="16">
                  <c:v>301.25810185743023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302-4CA2-BA56-E0E46E48A268}"/>
            </c:ext>
          </c:extLst>
        </c:ser>
        <c:ser>
          <c:idx val="12"/>
          <c:order val="11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Trajecto!$D$194:$D$197</c:f>
              <c:numCache>
                <c:formatCode>0</c:formatCode>
                <c:ptCount val="4"/>
                <c:pt idx="0">
                  <c:v>301.25810185743023</c:v>
                </c:pt>
                <c:pt idx="1">
                  <c:v>318.25810185743023</c:v>
                </c:pt>
                <c:pt idx="2">
                  <c:v>312.25810185743023</c:v>
                </c:pt>
                <c:pt idx="3">
                  <c:v>301.25810185743023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302-4CA2-BA56-E0E46E48A268}"/>
            </c:ext>
          </c:extLst>
        </c:ser>
        <c:ser>
          <c:idx val="13"/>
          <c:order val="12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Trajecto!$F$194:$F$197</c:f>
              <c:numCache>
                <c:formatCode>0</c:formatCode>
                <c:ptCount val="4"/>
                <c:pt idx="0">
                  <c:v>301.25810185743023</c:v>
                </c:pt>
                <c:pt idx="1">
                  <c:v>284.25810185743023</c:v>
                </c:pt>
                <c:pt idx="2">
                  <c:v>290.25810185743023</c:v>
                </c:pt>
                <c:pt idx="3">
                  <c:v>301.25810185743023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302-4CA2-BA56-E0E46E48A268}"/>
            </c:ext>
          </c:extLst>
        </c:ser>
        <c:ser>
          <c:idx val="3"/>
          <c:order val="1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dLbls>
            <c:dLbl>
              <c:idx val="1"/>
              <c:tx>
                <c:strRef>
                  <c:f>Trajecto!$B$108</c:f>
                  <c:strCache>
                    <c:ptCount val="1"/>
                    <c:pt idx="0">
                      <c:v>Fusée sous parachute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{2B6181B8-9642-4F2E-8F0F-9FAD78559727}</c15:txfldGUID>
                      <c15:f>Trajecto!$B$108</c15:f>
                      <c15:dlblFieldTableCache>
                        <c:ptCount val="1"/>
                        <c:pt idx="0">
                          <c:v>Fusée sous parachute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B302-4CA2-BA56-E0E46E48A26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Trajecto!$B$123:$B$129</c:f>
              <c:numCache>
                <c:formatCode>0</c:formatCode>
                <c:ptCount val="7"/>
                <c:pt idx="0">
                  <c:v>351.96629763756908</c:v>
                </c:pt>
                <c:pt idx="1">
                  <c:v>351.96629763756908</c:v>
                </c:pt>
                <c:pt idx="2">
                  <c:v>351.96629763756908</c:v>
                </c:pt>
                <c:pt idx="3">
                  <c:v>393.86755048879951</c:v>
                </c:pt>
                <c:pt idx="4">
                  <c:v>351.96629763756908</c:v>
                </c:pt>
                <c:pt idx="5">
                  <c:v>310.06504478633866</c:v>
                </c:pt>
                <c:pt idx="6">
                  <c:v>351.96629763756908</c:v>
                </c:pt>
              </c:numCache>
            </c:numRef>
          </c:xVal>
          <c:yVal>
            <c:numRef>
              <c:f>Trajecto!$C$121:$C$127</c:f>
              <c:numCache>
                <c:formatCode>0</c:formatCode>
                <c:ptCount val="7"/>
                <c:pt idx="0">
                  <c:v>1676.0501140492172</c:v>
                </c:pt>
                <c:pt idx="1">
                  <c:v>838.0250570246086</c:v>
                </c:pt>
                <c:pt idx="2">
                  <c:v>0</c:v>
                </c:pt>
                <c:pt idx="3">
                  <c:v>83.802505702460863</c:v>
                </c:pt>
                <c:pt idx="4">
                  <c:v>0</c:v>
                </c:pt>
                <c:pt idx="5">
                  <c:v>83.802505702460863</c:v>
                </c:pt>
                <c:pt idx="6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302-4CA2-BA56-E0E46E48A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41024"/>
        <c:axId val="149054208"/>
      </c:scatterChart>
      <c:valAx>
        <c:axId val="14824102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Trajecto!$B$111</c:f>
              <c:strCache>
                <c:ptCount val="1"/>
                <c:pt idx="0">
                  <c:v>Portée x [m]</c:v>
                </c:pt>
              </c:strCache>
            </c:strRef>
          </c:tx>
          <c:layout>
            <c:manualLayout>
              <c:xMode val="edge"/>
              <c:yMode val="edge"/>
              <c:x val="0.56464627732344286"/>
              <c:y val="0.84829693458129063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054208"/>
        <c:crosses val="autoZero"/>
        <c:crossBetween val="midCat"/>
      </c:valAx>
      <c:valAx>
        <c:axId val="14905420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8.1818320007296413E-2"/>
              <c:y val="6.8111391736410315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8241024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paperSize="9" firstPageNumber="0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Trajecto!$B$113</c:f>
          <c:strCache>
            <c:ptCount val="1"/>
            <c:pt idx="0">
              <c:v>Altitude z  /  Temps</c:v>
            </c:pt>
          </c:strCache>
        </c:strRef>
      </c:tx>
      <c:layout>
        <c:manualLayout>
          <c:xMode val="edge"/>
          <c:yMode val="edge"/>
          <c:x val="0.57666688909649"/>
          <c:y val="3.715181828686509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4746430001334583E-2"/>
          <c:y val="4.8186995493487844E-2"/>
          <c:w val="0.89333624132890843"/>
          <c:h val="0.89614373166225958"/>
        </c:manualLayout>
      </c:layout>
      <c:scatterChart>
        <c:scatterStyle val="lineMarker"/>
        <c:varyColors val="0"/>
        <c:ser>
          <c:idx val="4"/>
          <c:order val="0"/>
          <c:tx>
            <c:v>Point invisible pour mise à l'echelle</c:v>
          </c:tx>
          <c:spPr>
            <a:ln w="28575">
              <a:noFill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Trajecto!$B$120</c:f>
              <c:numCache>
                <c:formatCode>0</c:formatCode>
                <c:ptCount val="1"/>
                <c:pt idx="0">
                  <c:v>1738.4460976679284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1-4567-B7A1-067915120221}"/>
            </c:ext>
          </c:extLst>
        </c:ser>
        <c:ser>
          <c:idx val="0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Calculs!$AC$4:$AC$1004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1.0000000000000007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2.0000000000000013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2.99999999999998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3.9999999999999587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4.9999999999999556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5.999999999999952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6.9999999999999485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7.9999999999999449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8.9999999999999414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9.9999999999999378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10.999999999999934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11.999999999999931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12.999999999999927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13.999999999999924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14.99999999999992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15.999999999999917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16.999999999999929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17.999999999999943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18.999999999999957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19.999999999999972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20.999999999999986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22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23.000000000000014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24.000000000000028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25.000000000000043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26.000000000000057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27.000000000000071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28.000000000000085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29.000000000000099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30.000000000000114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31.000000000000128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32.000000000000142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33.000000000000156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34.000000000000171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35.000000000000185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36.000000000000199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37.000000000000213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38.000000000000227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39.000000000000242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1676.0501140492172</c:v>
                </c:pt>
                <c:pt idx="579">
                  <c:v>1672.5498772558487</c:v>
                </c:pt>
                <c:pt idx="580">
                  <c:v>1668.9565461588081</c:v>
                </c:pt>
                <c:pt idx="581">
                  <c:v>1665.2703732140496</c:v>
                </c:pt>
                <c:pt idx="582">
                  <c:v>1661.491616921179</c:v>
                </c:pt>
                <c:pt idx="583">
                  <c:v>1657.6205417708159</c:v>
                </c:pt>
                <c:pt idx="584">
                  <c:v>1653.6574181902931</c:v>
                </c:pt>
                <c:pt idx="585">
                  <c:v>1649.6025224877774</c:v>
                </c:pt>
                <c:pt idx="586">
                  <c:v>1645.4561367948838</c:v>
                </c:pt>
                <c:pt idx="587">
                  <c:v>1641.2185490078584</c:v>
                </c:pt>
                <c:pt idx="588">
                  <c:v>1636.8900527273881</c:v>
                </c:pt>
                <c:pt idx="589">
                  <c:v>1632.4709471971014</c:v>
                </c:pt>
                <c:pt idx="590">
                  <c:v>1627.9615372408105</c:v>
                </c:pt>
                <c:pt idx="591">
                  <c:v>1623.362133198551</c:v>
                </c:pt>
                <c:pt idx="592">
                  <c:v>1618.6730508614653</c:v>
                </c:pt>
                <c:pt idx="593">
                  <c:v>1613.8946114055764</c:v>
                </c:pt>
                <c:pt idx="594">
                  <c:v>1609.027141324498</c:v>
                </c:pt>
                <c:pt idx="595">
                  <c:v>1604.0709723611224</c:v>
                </c:pt>
                <c:pt idx="596">
                  <c:v>1599.0264414383273</c:v>
                </c:pt>
                <c:pt idx="597">
                  <c:v>1593.8938905887414</c:v>
                </c:pt>
                <c:pt idx="598">
                  <c:v>1588.6736668836077</c:v>
                </c:pt>
                <c:pt idx="599">
                  <c:v>1583.3661223607819</c:v>
                </c:pt>
                <c:pt idx="600">
                  <c:v>1577.9716139519039</c:v>
                </c:pt>
                <c:pt idx="601">
                  <c:v>1572.490503408776</c:v>
                </c:pt>
                <c:pt idx="602">
                  <c:v>1566.9231572289857</c:v>
                </c:pt>
                <c:pt idx="603">
                  <c:v>1561.2699465808071</c:v>
                </c:pt>
                <c:pt idx="604">
                  <c:v>1555.5312472274147</c:v>
                </c:pt>
                <c:pt idx="605">
                  <c:v>1549.7074394504455</c:v>
                </c:pt>
                <c:pt idx="606">
                  <c:v>1543.7989079729393</c:v>
                </c:pt>
                <c:pt idx="607">
                  <c:v>1537.8060418816954</c:v>
                </c:pt>
                <c:pt idx="608">
                  <c:v>1531.729234549073</c:v>
                </c:pt>
                <c:pt idx="609">
                  <c:v>1525.568883554273</c:v>
                </c:pt>
                <c:pt idx="610">
                  <c:v>1519.3253906041291</c:v>
                </c:pt>
                <c:pt idx="611">
                  <c:v>1512.9991614534433</c:v>
                </c:pt>
                <c:pt idx="612">
                  <c:v>1506.590605824895</c:v>
                </c:pt>
                <c:pt idx="613">
                  <c:v>1500.1001373285574</c:v>
                </c:pt>
                <c:pt idx="614">
                  <c:v>1493.5281733810496</c:v>
                </c:pt>
                <c:pt idx="615">
                  <c:v>1486.8751351243586</c:v>
                </c:pt>
                <c:pt idx="616">
                  <c:v>1480.1414473443585</c:v>
                </c:pt>
                <c:pt idx="617">
                  <c:v>1473.3275383890591</c:v>
                </c:pt>
                <c:pt idx="618">
                  <c:v>1466.4338400866138</c:v>
                </c:pt>
                <c:pt idx="619">
                  <c:v>1459.4607876631162</c:v>
                </c:pt>
                <c:pt idx="620">
                  <c:v>1452.4088196602154</c:v>
                </c:pt>
                <c:pt idx="621">
                  <c:v>1445.2783778525786</c:v>
                </c:pt>
                <c:pt idx="622">
                  <c:v>1438.0699071652305</c:v>
                </c:pt>
                <c:pt idx="623">
                  <c:v>1430.7838555907986</c:v>
                </c:pt>
                <c:pt idx="624">
                  <c:v>1423.4206741066916</c:v>
                </c:pt>
                <c:pt idx="625">
                  <c:v>1415.98081659224</c:v>
                </c:pt>
                <c:pt idx="626">
                  <c:v>1408.4647397458264</c:v>
                </c:pt>
                <c:pt idx="627">
                  <c:v>1400.8729030020334</c:v>
                </c:pt>
                <c:pt idx="628">
                  <c:v>1393.205768448835</c:v>
                </c:pt>
                <c:pt idx="629">
                  <c:v>1385.46380074486</c:v>
                </c:pt>
                <c:pt idx="630">
                  <c:v>1377.6474670367525</c:v>
                </c:pt>
                <c:pt idx="631">
                  <c:v>1369.7572368766569</c:v>
                </c:pt>
                <c:pt idx="632">
                  <c:v>1361.7935821398512</c:v>
                </c:pt>
                <c:pt idx="633">
                  <c:v>1353.7569769425572</c:v>
                </c:pt>
                <c:pt idx="634">
                  <c:v>1345.6478975599487</c:v>
                </c:pt>
                <c:pt idx="635">
                  <c:v>1337.4668223443855</c:v>
                </c:pt>
                <c:pt idx="636">
                  <c:v>1329.2142316438969</c:v>
                </c:pt>
                <c:pt idx="637">
                  <c:v>1320.8906077209367</c:v>
                </c:pt>
                <c:pt idx="638">
                  <c:v>1312.4964346714348</c:v>
                </c:pt>
                <c:pt idx="639">
                  <c:v>1304.0321983441695</c:v>
                </c:pt>
                <c:pt idx="640">
                  <c:v>1295.4983862604802</c:v>
                </c:pt>
                <c:pt idx="641">
                  <c:v>1286.8954875343447</c:v>
                </c:pt>
                <c:pt idx="642">
                  <c:v>1278.2239927928438</c:v>
                </c:pt>
                <c:pt idx="643">
                  <c:v>1269.4843940970311</c:v>
                </c:pt>
                <c:pt idx="644">
                  <c:v>1260.6771848632334</c:v>
                </c:pt>
                <c:pt idx="645">
                  <c:v>1251.8028597847979</c:v>
                </c:pt>
                <c:pt idx="646">
                  <c:v>1242.8619147543097</c:v>
                </c:pt>
                <c:pt idx="647">
                  <c:v>1233.8548467862972</c:v>
                </c:pt>
                <c:pt idx="648">
                  <c:v>1224.7821539404447</c:v>
                </c:pt>
                <c:pt idx="649">
                  <c:v>1215.6443352453314</c:v>
                </c:pt>
                <c:pt idx="650">
                  <c:v>1206.4418906227152</c:v>
                </c:pt>
                <c:pt idx="651">
                  <c:v>1197.1753208123778</c:v>
                </c:pt>
                <c:pt idx="652">
                  <c:v>1187.8451272975499</c:v>
                </c:pt>
                <c:pt idx="653">
                  <c:v>1178.4518122309316</c:v>
                </c:pt>
                <c:pt idx="654">
                  <c:v>1168.9958783613265</c:v>
                </c:pt>
                <c:pt idx="655">
                  <c:v>1159.4778289609026</c:v>
                </c:pt>
                <c:pt idx="656">
                  <c:v>1149.8981677530976</c:v>
                </c:pt>
                <c:pt idx="657">
                  <c:v>1140.2573988411832</c:v>
                </c:pt>
                <c:pt idx="658">
                  <c:v>1130.5560266375005</c:v>
                </c:pt>
                <c:pt idx="659">
                  <c:v>1120.7945557933838</c:v>
                </c:pt>
                <c:pt idx="660">
                  <c:v>1110.973491129784</c:v>
                </c:pt>
                <c:pt idx="661">
                  <c:v>1101.093337568605</c:v>
                </c:pt>
                <c:pt idx="662">
                  <c:v>1091.1546000647654</c:v>
                </c:pt>
                <c:pt idx="663">
                  <c:v>1081.1577835389985</c:v>
                </c:pt>
                <c:pt idx="664">
                  <c:v>1071.1033928114002</c:v>
                </c:pt>
                <c:pt idx="665">
                  <c:v>1060.9919325357382</c:v>
                </c:pt>
                <c:pt idx="666">
                  <c:v>1050.8239071345313</c:v>
                </c:pt>
                <c:pt idx="667">
                  <c:v>1040.5998207349087</c:v>
                </c:pt>
                <c:pt idx="668">
                  <c:v>1030.3201771052607</c:v>
                </c:pt>
                <c:pt idx="669">
                  <c:v>1019.985479592688</c:v>
                </c:pt>
                <c:pt idx="670">
                  <c:v>1009.5962310612599</c:v>
                </c:pt>
                <c:pt idx="671">
                  <c:v>999.15293383108769</c:v>
                </c:pt>
                <c:pt idx="672">
                  <c:v>988.65608961822284</c:v>
                </c:pt>
                <c:pt idx="673">
                  <c:v>978.10619947538635</c:v>
                </c:pt>
                <c:pt idx="674">
                  <c:v>967.50376373353618</c:v>
                </c:pt>
                <c:pt idx="675">
                  <c:v>956.84928194427926</c:v>
                </c:pt>
                <c:pt idx="676">
                  <c:v>946.14325282313382</c:v>
                </c:pt>
                <c:pt idx="677">
                  <c:v>935.38617419364789</c:v>
                </c:pt>
                <c:pt idx="678">
                  <c:v>924.57854293237881</c:v>
                </c:pt>
                <c:pt idx="679">
                  <c:v>913.7208549147382</c:v>
                </c:pt>
                <c:pt idx="680">
                  <c:v>902.81360496170691</c:v>
                </c:pt>
                <c:pt idx="681">
                  <c:v>891.85728678742407</c:v>
                </c:pt>
                <c:pt idx="682">
                  <c:v>880.85239294765222</c:v>
                </c:pt>
                <c:pt idx="683">
                  <c:v>869.79941478912338</c:v>
                </c:pt>
                <c:pt idx="684">
                  <c:v>858.69884239976716</c:v>
                </c:pt>
                <c:pt idx="685">
                  <c:v>847.55116455982375</c:v>
                </c:pt>
                <c:pt idx="686">
                  <c:v>836.35686869384358</c:v>
                </c:pt>
                <c:pt idx="687">
                  <c:v>825.11644082357418</c:v>
                </c:pt>
                <c:pt idx="688">
                  <c:v>813.83036552173689</c:v>
                </c:pt>
                <c:pt idx="689">
                  <c:v>802.49912586669234</c:v>
                </c:pt>
                <c:pt idx="690">
                  <c:v>791.12320339799601</c:v>
                </c:pt>
                <c:pt idx="691">
                  <c:v>779.70307807284337</c:v>
                </c:pt>
                <c:pt idx="692">
                  <c:v>768.23922822340421</c:v>
                </c:pt>
                <c:pt idx="693">
                  <c:v>756.73213051504592</c:v>
                </c:pt>
                <c:pt idx="694">
                  <c:v>745.18225990544306</c:v>
                </c:pt>
                <c:pt idx="695">
                  <c:v>733.59008960457379</c:v>
                </c:pt>
                <c:pt idx="696">
                  <c:v>721.9560910355998</c:v>
                </c:pt>
                <c:pt idx="697">
                  <c:v>710.28073379662828</c:v>
                </c:pt>
                <c:pt idx="698">
                  <c:v>698.56448562335356</c:v>
                </c:pt>
                <c:pt idx="699">
                  <c:v>686.8078123525753</c:v>
                </c:pt>
                <c:pt idx="700">
                  <c:v>675.01117788659064</c:v>
                </c:pt>
                <c:pt idx="701">
                  <c:v>663.17504415845667</c:v>
                </c:pt>
                <c:pt idx="702">
                  <c:v>651.29987109812009</c:v>
                </c:pt>
                <c:pt idx="703">
                  <c:v>639.38611659940921</c:v>
                </c:pt>
                <c:pt idx="704">
                  <c:v>627.43423648788576</c:v>
                </c:pt>
                <c:pt idx="705">
                  <c:v>615.44468448955035</c:v>
                </c:pt>
                <c:pt idx="706">
                  <c:v>603.41791220039818</c:v>
                </c:pt>
                <c:pt idx="707">
                  <c:v>591.35436905681945</c:v>
                </c:pt>
                <c:pt idx="708">
                  <c:v>579.25450230683987</c:v>
                </c:pt>
                <c:pt idx="709">
                  <c:v>567.11875698219558</c:v>
                </c:pt>
                <c:pt idx="710">
                  <c:v>554.9475758712365</c:v>
                </c:pt>
                <c:pt idx="711">
                  <c:v>542.74139949265316</c:v>
                </c:pt>
                <c:pt idx="712">
                  <c:v>530.50066607002066</c:v>
                </c:pt>
                <c:pt idx="713">
                  <c:v>518.22581150715303</c:v>
                </c:pt>
                <c:pt idx="714">
                  <c:v>505.91726936426255</c:v>
                </c:pt>
                <c:pt idx="715">
                  <c:v>493.57547083491659</c:v>
                </c:pt>
                <c:pt idx="716">
                  <c:v>481.20084472378551</c:v>
                </c:pt>
                <c:pt idx="717">
                  <c:v>468.79381742517501</c:v>
                </c:pt>
                <c:pt idx="718">
                  <c:v>456.35481290233514</c:v>
                </c:pt>
                <c:pt idx="719">
                  <c:v>443.88425266753939</c:v>
                </c:pt>
                <c:pt idx="720">
                  <c:v>431.38255576292585</c:v>
                </c:pt>
                <c:pt idx="721">
                  <c:v>418.85013874209352</c:v>
                </c:pt>
                <c:pt idx="722">
                  <c:v>406.28741565244519</c:v>
                </c:pt>
                <c:pt idx="723">
                  <c:v>393.69479801827015</c:v>
                </c:pt>
                <c:pt idx="724">
                  <c:v>381.07269482455757</c:v>
                </c:pt>
                <c:pt idx="725">
                  <c:v>368.4215125015337</c:v>
                </c:pt>
                <c:pt idx="726">
                  <c:v>355.74165490991356</c:v>
                </c:pt>
                <c:pt idx="727">
                  <c:v>343.03352332685989</c:v>
                </c:pt>
                <c:pt idx="728">
                  <c:v>330.29751643263995</c:v>
                </c:pt>
                <c:pt idx="729">
                  <c:v>317.53403029797232</c:v>
                </c:pt>
                <c:pt idx="730">
                  <c:v>304.7434583720551</c:v>
                </c:pt>
                <c:pt idx="731">
                  <c:v>291.92619147126675</c:v>
                </c:pt>
                <c:pt idx="732">
                  <c:v>279.0826177685305</c:v>
                </c:pt>
                <c:pt idx="733">
                  <c:v>266.2131227833342</c:v>
                </c:pt>
                <c:pt idx="734">
                  <c:v>253.31808937239617</c:v>
                </c:pt>
                <c:pt idx="735">
                  <c:v>240.39789772096847</c:v>
                </c:pt>
                <c:pt idx="736">
                  <c:v>227.45292533476845</c:v>
                </c:pt>
                <c:pt idx="737">
                  <c:v>214.4835470325296</c:v>
                </c:pt>
                <c:pt idx="738">
                  <c:v>201.49013493916263</c:v>
                </c:pt>
                <c:pt idx="739">
                  <c:v>188.47305847951776</c:v>
                </c:pt>
                <c:pt idx="740">
                  <c:v>175.43268437273889</c:v>
                </c:pt>
                <c:pt idx="741">
                  <c:v>162.36937662720084</c:v>
                </c:pt>
                <c:pt idx="742">
                  <c:v>149.28349653601992</c:v>
                </c:pt>
                <c:pt idx="743">
                  <c:v>136.17540267312941</c:v>
                </c:pt>
                <c:pt idx="744">
                  <c:v>123.0454508899099</c:v>
                </c:pt>
                <c:pt idx="745">
                  <c:v>109.89399431236589</c:v>
                </c:pt>
                <c:pt idx="746">
                  <c:v>96.721383338839203</c:v>
                </c:pt>
                <c:pt idx="747">
                  <c:v>83.527965638249938</c:v>
                </c:pt>
                <c:pt idx="748">
                  <c:v>70.314086148855893</c:v>
                </c:pt>
                <c:pt idx="749">
                  <c:v>57.080087077521057</c:v>
                </c:pt>
                <c:pt idx="750">
                  <c:v>43.826307899484235</c:v>
                </c:pt>
                <c:pt idx="751">
                  <c:v>30.553085358618382</c:v>
                </c:pt>
                <c:pt idx="752">
                  <c:v>17.260753468171636</c:v>
                </c:pt>
                <c:pt idx="753">
                  <c:v>3.949643511980895</c:v>
                </c:pt>
                <c:pt idx="754">
                  <c:v>-9.3799159538512082</c:v>
                </c:pt>
                <c:pt idx="755">
                  <c:v>-9.3932546652544051</c:v>
                </c:pt>
                <c:pt idx="756">
                  <c:v>-9.406593394618886</c:v>
                </c:pt>
                <c:pt idx="757">
                  <c:v>-9.4199321419443311</c:v>
                </c:pt>
                <c:pt idx="758">
                  <c:v>-9.4332709072304173</c:v>
                </c:pt>
                <c:pt idx="759">
                  <c:v>-9.4466096904768246</c:v>
                </c:pt>
                <c:pt idx="760">
                  <c:v>-9.4599484916832317</c:v>
                </c:pt>
                <c:pt idx="761">
                  <c:v>-9.4732873108493187</c:v>
                </c:pt>
                <c:pt idx="762">
                  <c:v>-9.4866261479747624</c:v>
                </c:pt>
                <c:pt idx="763">
                  <c:v>-9.4999650030592431</c:v>
                </c:pt>
                <c:pt idx="764">
                  <c:v>-9.5133038761024391</c:v>
                </c:pt>
                <c:pt idx="765">
                  <c:v>-9.526642767104029</c:v>
                </c:pt>
                <c:pt idx="766">
                  <c:v>-9.5399816760636913</c:v>
                </c:pt>
                <c:pt idx="767">
                  <c:v>-9.5533206029811044</c:v>
                </c:pt>
                <c:pt idx="768">
                  <c:v>-9.5666595478559486</c:v>
                </c:pt>
                <c:pt idx="769">
                  <c:v>-9.5799985106879024</c:v>
                </c:pt>
                <c:pt idx="770">
                  <c:v>-9.5933374914766443</c:v>
                </c:pt>
                <c:pt idx="771">
                  <c:v>-9.6066764902218544</c:v>
                </c:pt>
                <c:pt idx="772">
                  <c:v>-9.6200155069232096</c:v>
                </c:pt>
                <c:pt idx="773">
                  <c:v>-9.6333545415803901</c:v>
                </c:pt>
                <c:pt idx="774">
                  <c:v>-9.6466935941930743</c:v>
                </c:pt>
                <c:pt idx="775">
                  <c:v>-9.6600326647609407</c:v>
                </c:pt>
                <c:pt idx="776">
                  <c:v>-9.6733717532836696</c:v>
                </c:pt>
                <c:pt idx="777">
                  <c:v>-9.6867108597609377</c:v>
                </c:pt>
                <c:pt idx="778">
                  <c:v>-9.7000499841924253</c:v>
                </c:pt>
                <c:pt idx="779">
                  <c:v>-9.7133891265778125</c:v>
                </c:pt>
                <c:pt idx="780">
                  <c:v>-9.7267282869167762</c:v>
                </c:pt>
                <c:pt idx="781">
                  <c:v>-9.7400674652089965</c:v>
                </c:pt>
                <c:pt idx="782">
                  <c:v>-9.7534066614541519</c:v>
                </c:pt>
                <c:pt idx="783">
                  <c:v>-9.766745875651921</c:v>
                </c:pt>
                <c:pt idx="784">
                  <c:v>-9.7800851078019821</c:v>
                </c:pt>
                <c:pt idx="785">
                  <c:v>-9.7934243579040157</c:v>
                </c:pt>
                <c:pt idx="786">
                  <c:v>-9.8067636259577</c:v>
                </c:pt>
                <c:pt idx="787">
                  <c:v>-9.8201029119627137</c:v>
                </c:pt>
                <c:pt idx="788">
                  <c:v>-9.8334422159187351</c:v>
                </c:pt>
                <c:pt idx="789">
                  <c:v>-9.8467815378254446</c:v>
                </c:pt>
                <c:pt idx="790">
                  <c:v>-9.8601208776825189</c:v>
                </c:pt>
                <c:pt idx="791">
                  <c:v>-9.8734602354896381</c:v>
                </c:pt>
                <c:pt idx="792">
                  <c:v>-9.8867996112464827</c:v>
                </c:pt>
                <c:pt idx="793">
                  <c:v>-9.9001390049527291</c:v>
                </c:pt>
                <c:pt idx="794">
                  <c:v>-9.9134784166080578</c:v>
                </c:pt>
                <c:pt idx="795">
                  <c:v>-9.9268178462121472</c:v>
                </c:pt>
                <c:pt idx="796">
                  <c:v>-9.9401572937646776</c:v>
                </c:pt>
                <c:pt idx="797">
                  <c:v>-9.9534967592653256</c:v>
                </c:pt>
                <c:pt idx="798">
                  <c:v>-9.9668362427137716</c:v>
                </c:pt>
                <c:pt idx="799">
                  <c:v>-9.9801757441096939</c:v>
                </c:pt>
                <c:pt idx="800">
                  <c:v>-9.9935152634527729</c:v>
                </c:pt>
                <c:pt idx="801">
                  <c:v>-10.006854800742685</c:v>
                </c:pt>
                <c:pt idx="802">
                  <c:v>-10.020194355979111</c:v>
                </c:pt>
                <c:pt idx="803">
                  <c:v>-10.033533929161731</c:v>
                </c:pt>
                <c:pt idx="804">
                  <c:v>-10.046873520290221</c:v>
                </c:pt>
                <c:pt idx="805">
                  <c:v>-10.060213129364262</c:v>
                </c:pt>
                <c:pt idx="806">
                  <c:v>-10.073552756383533</c:v>
                </c:pt>
                <c:pt idx="807">
                  <c:v>-10.086892401347711</c:v>
                </c:pt>
                <c:pt idx="808">
                  <c:v>-10.100232064256478</c:v>
                </c:pt>
                <c:pt idx="809">
                  <c:v>-10.11357174510951</c:v>
                </c:pt>
                <c:pt idx="810">
                  <c:v>-10.126911443906488</c:v>
                </c:pt>
                <c:pt idx="811">
                  <c:v>-10.14025116064709</c:v>
                </c:pt>
                <c:pt idx="812">
                  <c:v>-10.153590895330995</c:v>
                </c:pt>
                <c:pt idx="813">
                  <c:v>-10.166930647957882</c:v>
                </c:pt>
                <c:pt idx="814">
                  <c:v>-10.18027041852743</c:v>
                </c:pt>
                <c:pt idx="815">
                  <c:v>-10.193610207039319</c:v>
                </c:pt>
                <c:pt idx="816">
                  <c:v>-10.206950013493227</c:v>
                </c:pt>
                <c:pt idx="817">
                  <c:v>-10.220289837888833</c:v>
                </c:pt>
                <c:pt idx="818">
                  <c:v>-10.233629680225816</c:v>
                </c:pt>
                <c:pt idx="819">
                  <c:v>-10.246969540503855</c:v>
                </c:pt>
                <c:pt idx="820">
                  <c:v>-10.260309418722629</c:v>
                </c:pt>
                <c:pt idx="821">
                  <c:v>-10.273649314881817</c:v>
                </c:pt>
                <c:pt idx="822">
                  <c:v>-10.286989228981099</c:v>
                </c:pt>
                <c:pt idx="823">
                  <c:v>-10.300329161020153</c:v>
                </c:pt>
                <c:pt idx="824">
                  <c:v>-10.313669110998658</c:v>
                </c:pt>
                <c:pt idx="825">
                  <c:v>-10.327009078916292</c:v>
                </c:pt>
                <c:pt idx="826">
                  <c:v>-10.340349064772736</c:v>
                </c:pt>
                <c:pt idx="827">
                  <c:v>-10.353689068567668</c:v>
                </c:pt>
                <c:pt idx="828">
                  <c:v>-10.367029090300768</c:v>
                </c:pt>
                <c:pt idx="829">
                  <c:v>-10.380369129971715</c:v>
                </c:pt>
                <c:pt idx="830">
                  <c:v>-10.393709187580187</c:v>
                </c:pt>
                <c:pt idx="831">
                  <c:v>-10.407049263125863</c:v>
                </c:pt>
                <c:pt idx="832">
                  <c:v>-10.420389356608423</c:v>
                </c:pt>
                <c:pt idx="833">
                  <c:v>-10.433729468027545</c:v>
                </c:pt>
                <c:pt idx="834">
                  <c:v>-10.447069597382908</c:v>
                </c:pt>
                <c:pt idx="835">
                  <c:v>-10.460409744674191</c:v>
                </c:pt>
                <c:pt idx="836">
                  <c:v>-10.473749909901073</c:v>
                </c:pt>
                <c:pt idx="837">
                  <c:v>-10.487090093063236</c:v>
                </c:pt>
                <c:pt idx="838">
                  <c:v>-10.500430294160354</c:v>
                </c:pt>
                <c:pt idx="839">
                  <c:v>-10.51377051319211</c:v>
                </c:pt>
                <c:pt idx="840">
                  <c:v>-10.527110750158181</c:v>
                </c:pt>
                <c:pt idx="841">
                  <c:v>-10.540451005058248</c:v>
                </c:pt>
                <c:pt idx="842">
                  <c:v>-10.553791277891989</c:v>
                </c:pt>
                <c:pt idx="843">
                  <c:v>-10.567131568659082</c:v>
                </c:pt>
                <c:pt idx="844">
                  <c:v>-10.580471877359209</c:v>
                </c:pt>
                <c:pt idx="845">
                  <c:v>-10.593812203992044</c:v>
                </c:pt>
                <c:pt idx="846">
                  <c:v>-10.607152548557272</c:v>
                </c:pt>
                <c:pt idx="847">
                  <c:v>-10.620492911054567</c:v>
                </c:pt>
                <c:pt idx="848">
                  <c:v>-10.633833291483612</c:v>
                </c:pt>
                <c:pt idx="849">
                  <c:v>-10.647173689844083</c:v>
                </c:pt>
                <c:pt idx="850">
                  <c:v>-10.660514106135661</c:v>
                </c:pt>
                <c:pt idx="851">
                  <c:v>-10.673854540358025</c:v>
                </c:pt>
                <c:pt idx="852">
                  <c:v>-10.687194992510854</c:v>
                </c:pt>
                <c:pt idx="853">
                  <c:v>-10.700535462593827</c:v>
                </c:pt>
                <c:pt idx="854">
                  <c:v>-10.713875950606621</c:v>
                </c:pt>
                <c:pt idx="855">
                  <c:v>-10.727216456548918</c:v>
                </c:pt>
                <c:pt idx="856">
                  <c:v>-10.740556980420395</c:v>
                </c:pt>
                <c:pt idx="857">
                  <c:v>-10.753897522220733</c:v>
                </c:pt>
                <c:pt idx="858">
                  <c:v>-10.767238081949611</c:v>
                </c:pt>
                <c:pt idx="859">
                  <c:v>-10.780578659606705</c:v>
                </c:pt>
                <c:pt idx="860">
                  <c:v>-10.793919255191698</c:v>
                </c:pt>
                <c:pt idx="861">
                  <c:v>-10.807259868704268</c:v>
                </c:pt>
                <c:pt idx="862">
                  <c:v>-10.820600500144094</c:v>
                </c:pt>
                <c:pt idx="863">
                  <c:v>-10.833941149510855</c:v>
                </c:pt>
                <c:pt idx="864">
                  <c:v>-10.847281816804228</c:v>
                </c:pt>
                <c:pt idx="865">
                  <c:v>-10.860622502023896</c:v>
                </c:pt>
                <c:pt idx="866">
                  <c:v>-10.873963205169535</c:v>
                </c:pt>
                <c:pt idx="867">
                  <c:v>-10.887303926240826</c:v>
                </c:pt>
                <c:pt idx="868">
                  <c:v>-10.900644665237447</c:v>
                </c:pt>
                <c:pt idx="869">
                  <c:v>-10.913985422159078</c:v>
                </c:pt>
                <c:pt idx="870">
                  <c:v>-10.927326197005398</c:v>
                </c:pt>
                <c:pt idx="871">
                  <c:v>-10.940666989776085</c:v>
                </c:pt>
                <c:pt idx="872">
                  <c:v>-10.954007800470819</c:v>
                </c:pt>
                <c:pt idx="873">
                  <c:v>-10.96734862908928</c:v>
                </c:pt>
                <c:pt idx="874">
                  <c:v>-10.980689475631145</c:v>
                </c:pt>
                <c:pt idx="875">
                  <c:v>-10.994030340096096</c:v>
                </c:pt>
                <c:pt idx="876">
                  <c:v>-11.00737122248381</c:v>
                </c:pt>
                <c:pt idx="877">
                  <c:v>-11.020712122793967</c:v>
                </c:pt>
                <c:pt idx="878">
                  <c:v>-11.034053041026246</c:v>
                </c:pt>
                <c:pt idx="879">
                  <c:v>-11.047393977180326</c:v>
                </c:pt>
                <c:pt idx="880">
                  <c:v>-11.060734931255885</c:v>
                </c:pt>
                <c:pt idx="881">
                  <c:v>-11.074075903252604</c:v>
                </c:pt>
                <c:pt idx="882">
                  <c:v>-11.087416893170161</c:v>
                </c:pt>
                <c:pt idx="883">
                  <c:v>-11.100757901008237</c:v>
                </c:pt>
                <c:pt idx="884">
                  <c:v>-11.114098926766509</c:v>
                </c:pt>
                <c:pt idx="885">
                  <c:v>-11.127439970444657</c:v>
                </c:pt>
                <c:pt idx="886">
                  <c:v>-11.14078103204236</c:v>
                </c:pt>
                <c:pt idx="887">
                  <c:v>-11.154122111559298</c:v>
                </c:pt>
                <c:pt idx="888">
                  <c:v>-11.16746320899515</c:v>
                </c:pt>
                <c:pt idx="889">
                  <c:v>-11.180804324349594</c:v>
                </c:pt>
                <c:pt idx="890">
                  <c:v>-11.194145457622311</c:v>
                </c:pt>
                <c:pt idx="891">
                  <c:v>-11.207486608812978</c:v>
                </c:pt>
                <c:pt idx="892">
                  <c:v>-11.220827777921276</c:v>
                </c:pt>
                <c:pt idx="893">
                  <c:v>-11.234168964946884</c:v>
                </c:pt>
                <c:pt idx="894">
                  <c:v>-11.24751016988948</c:v>
                </c:pt>
                <c:pt idx="895">
                  <c:v>-11.260851392748744</c:v>
                </c:pt>
                <c:pt idx="896">
                  <c:v>-11.274192633524356</c:v>
                </c:pt>
                <c:pt idx="897">
                  <c:v>-11.287533892215993</c:v>
                </c:pt>
                <c:pt idx="898">
                  <c:v>-11.300875168823337</c:v>
                </c:pt>
                <c:pt idx="899">
                  <c:v>-11.314216463346066</c:v>
                </c:pt>
                <c:pt idx="900">
                  <c:v>-11.327557775783859</c:v>
                </c:pt>
                <c:pt idx="901">
                  <c:v>-11.340899106136394</c:v>
                </c:pt>
                <c:pt idx="902">
                  <c:v>-11.354240454403353</c:v>
                </c:pt>
                <c:pt idx="903">
                  <c:v>-11.367581820584414</c:v>
                </c:pt>
                <c:pt idx="904">
                  <c:v>-11.380923204679256</c:v>
                </c:pt>
                <c:pt idx="905">
                  <c:v>-11.394264606687557</c:v>
                </c:pt>
                <c:pt idx="906">
                  <c:v>-11.407606026608997</c:v>
                </c:pt>
                <c:pt idx="907">
                  <c:v>-11.420947464443257</c:v>
                </c:pt>
                <c:pt idx="908">
                  <c:v>-11.434288920190015</c:v>
                </c:pt>
                <c:pt idx="909">
                  <c:v>-11.44763039384895</c:v>
                </c:pt>
                <c:pt idx="910">
                  <c:v>-11.460971885419742</c:v>
                </c:pt>
                <c:pt idx="911">
                  <c:v>-11.474313394902069</c:v>
                </c:pt>
                <c:pt idx="912">
                  <c:v>-11.48765492229561</c:v>
                </c:pt>
                <c:pt idx="913">
                  <c:v>-11.500996467600045</c:v>
                </c:pt>
                <c:pt idx="914">
                  <c:v>-11.514338030815054</c:v>
                </c:pt>
                <c:pt idx="915">
                  <c:v>-11.527679611940316</c:v>
                </c:pt>
                <c:pt idx="916">
                  <c:v>-11.54102121097551</c:v>
                </c:pt>
                <c:pt idx="917">
                  <c:v>-11.554362827920315</c:v>
                </c:pt>
                <c:pt idx="918">
                  <c:v>-11.56770446277441</c:v>
                </c:pt>
                <c:pt idx="919">
                  <c:v>-11.581046115537475</c:v>
                </c:pt>
                <c:pt idx="920">
                  <c:v>-11.59438778620919</c:v>
                </c:pt>
                <c:pt idx="921">
                  <c:v>-11.607729474789233</c:v>
                </c:pt>
                <c:pt idx="922">
                  <c:v>-11.621071181277284</c:v>
                </c:pt>
                <c:pt idx="923">
                  <c:v>-11.63441290567302</c:v>
                </c:pt>
                <c:pt idx="924">
                  <c:v>-11.647754647976123</c:v>
                </c:pt>
                <c:pt idx="925">
                  <c:v>-11.661096408186271</c:v>
                </c:pt>
                <c:pt idx="926">
                  <c:v>-11.674438186303144</c:v>
                </c:pt>
                <c:pt idx="927">
                  <c:v>-11.68777998232642</c:v>
                </c:pt>
                <c:pt idx="928">
                  <c:v>-11.70112179625578</c:v>
                </c:pt>
                <c:pt idx="929">
                  <c:v>-11.714463628090902</c:v>
                </c:pt>
                <c:pt idx="930">
                  <c:v>-11.727805477831467</c:v>
                </c:pt>
                <c:pt idx="931">
                  <c:v>-11.741147345477152</c:v>
                </c:pt>
                <c:pt idx="932">
                  <c:v>-11.754489231027639</c:v>
                </c:pt>
                <c:pt idx="933">
                  <c:v>-11.767831134482606</c:v>
                </c:pt>
                <c:pt idx="934">
                  <c:v>-11.78117305584173</c:v>
                </c:pt>
                <c:pt idx="935">
                  <c:v>-11.794514995104693</c:v>
                </c:pt>
                <c:pt idx="936">
                  <c:v>-11.807856952271175</c:v>
                </c:pt>
                <c:pt idx="937">
                  <c:v>-11.821198927340854</c:v>
                </c:pt>
                <c:pt idx="938">
                  <c:v>-11.834540920313408</c:v>
                </c:pt>
                <c:pt idx="939">
                  <c:v>-11.847882931188519</c:v>
                </c:pt>
                <c:pt idx="940">
                  <c:v>-11.861224959965863</c:v>
                </c:pt>
                <c:pt idx="941">
                  <c:v>-11.874567006645123</c:v>
                </c:pt>
                <c:pt idx="942">
                  <c:v>-11.887909071225977</c:v>
                </c:pt>
                <c:pt idx="943">
                  <c:v>-11.901251153708102</c:v>
                </c:pt>
                <c:pt idx="944">
                  <c:v>-11.914593254091182</c:v>
                </c:pt>
                <c:pt idx="945">
                  <c:v>-11.927935372374893</c:v>
                </c:pt>
                <c:pt idx="946">
                  <c:v>-11.941277508558915</c:v>
                </c:pt>
                <c:pt idx="947">
                  <c:v>-11.954619662642928</c:v>
                </c:pt>
                <c:pt idx="948">
                  <c:v>-11.96796183462661</c:v>
                </c:pt>
                <c:pt idx="949">
                  <c:v>-11.98130402450964</c:v>
                </c:pt>
                <c:pt idx="950">
                  <c:v>-11.9946462322917</c:v>
                </c:pt>
                <c:pt idx="951">
                  <c:v>-12.007988457972466</c:v>
                </c:pt>
                <c:pt idx="952">
                  <c:v>-12.021330701551621</c:v>
                </c:pt>
                <c:pt idx="953">
                  <c:v>-12.034672963028841</c:v>
                </c:pt>
                <c:pt idx="954">
                  <c:v>-12.048015242403807</c:v>
                </c:pt>
                <c:pt idx="955">
                  <c:v>-12.061357539676198</c:v>
                </c:pt>
                <c:pt idx="956">
                  <c:v>-12.074699854845694</c:v>
                </c:pt>
                <c:pt idx="957">
                  <c:v>-12.088042187911974</c:v>
                </c:pt>
                <c:pt idx="958">
                  <c:v>-12.101384538874717</c:v>
                </c:pt>
                <c:pt idx="959">
                  <c:v>-12.114726907733603</c:v>
                </c:pt>
                <c:pt idx="960">
                  <c:v>-12.128069294488311</c:v>
                </c:pt>
                <c:pt idx="961">
                  <c:v>-12.141411699138521</c:v>
                </c:pt>
                <c:pt idx="962">
                  <c:v>-12.154754121683911</c:v>
                </c:pt>
                <c:pt idx="963">
                  <c:v>-12.168096562124163</c:v>
                </c:pt>
                <c:pt idx="964">
                  <c:v>-12.181439020458953</c:v>
                </c:pt>
                <c:pt idx="965">
                  <c:v>-12.194781496687963</c:v>
                </c:pt>
                <c:pt idx="966">
                  <c:v>-12.20812399081087</c:v>
                </c:pt>
                <c:pt idx="967">
                  <c:v>-12.221466502827356</c:v>
                </c:pt>
                <c:pt idx="968">
                  <c:v>-12.234809032737099</c:v>
                </c:pt>
                <c:pt idx="969">
                  <c:v>-12.248151580539778</c:v>
                </c:pt>
                <c:pt idx="970">
                  <c:v>-12.261494146235073</c:v>
                </c:pt>
                <c:pt idx="971">
                  <c:v>-12.274836729822663</c:v>
                </c:pt>
                <c:pt idx="972">
                  <c:v>-12.28817933130223</c:v>
                </c:pt>
                <c:pt idx="973">
                  <c:v>-12.30152195067345</c:v>
                </c:pt>
                <c:pt idx="974">
                  <c:v>-12.314864587936004</c:v>
                </c:pt>
                <c:pt idx="975">
                  <c:v>-12.328207243089571</c:v>
                </c:pt>
                <c:pt idx="976">
                  <c:v>-12.341549916133831</c:v>
                </c:pt>
                <c:pt idx="977">
                  <c:v>-12.354892607068463</c:v>
                </c:pt>
                <c:pt idx="978">
                  <c:v>-12.368235315893145</c:v>
                </c:pt>
                <c:pt idx="979">
                  <c:v>-12.381578042607558</c:v>
                </c:pt>
                <c:pt idx="980">
                  <c:v>-12.394920787211381</c:v>
                </c:pt>
                <c:pt idx="981">
                  <c:v>-12.408263549704294</c:v>
                </c:pt>
                <c:pt idx="982">
                  <c:v>-12.421606330085977</c:v>
                </c:pt>
                <c:pt idx="983">
                  <c:v>-12.434949128356108</c:v>
                </c:pt>
                <c:pt idx="984">
                  <c:v>-12.448291944514366</c:v>
                </c:pt>
                <c:pt idx="985">
                  <c:v>-12.461634778560434</c:v>
                </c:pt>
                <c:pt idx="986">
                  <c:v>-12.474977630493989</c:v>
                </c:pt>
                <c:pt idx="987">
                  <c:v>-12.488320500314709</c:v>
                </c:pt>
                <c:pt idx="988">
                  <c:v>-12.501663388022275</c:v>
                </c:pt>
                <c:pt idx="989">
                  <c:v>-12.515006293616366</c:v>
                </c:pt>
                <c:pt idx="990">
                  <c:v>-12.528349217096663</c:v>
                </c:pt>
                <c:pt idx="991">
                  <c:v>-12.541692158462842</c:v>
                </c:pt>
                <c:pt idx="992">
                  <c:v>-12.555035117714587</c:v>
                </c:pt>
                <c:pt idx="993">
                  <c:v>-12.568378094851573</c:v>
                </c:pt>
                <c:pt idx="994">
                  <c:v>-12.581721089873483</c:v>
                </c:pt>
                <c:pt idx="995">
                  <c:v>-12.595064102779995</c:v>
                </c:pt>
                <c:pt idx="996">
                  <c:v>-12.608407133570788</c:v>
                </c:pt>
                <c:pt idx="997">
                  <c:v>-12.621750182245542</c:v>
                </c:pt>
                <c:pt idx="998">
                  <c:v>-12.635093248803937</c:v>
                </c:pt>
                <c:pt idx="999">
                  <c:v>-12.648436333245652</c:v>
                </c:pt>
                <c:pt idx="1000">
                  <c:v>-12.661779435570367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51-4567-B7A1-067915120221}"/>
            </c:ext>
          </c:extLst>
        </c:ser>
        <c:ser>
          <c:idx val="1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1676.0501140492172</c:v>
                </c:pt>
                <c:pt idx="579">
                  <c:v>1672.5498772558487</c:v>
                </c:pt>
                <c:pt idx="580">
                  <c:v>1668.9565461588081</c:v>
                </c:pt>
                <c:pt idx="581">
                  <c:v>1665.2703732140496</c:v>
                </c:pt>
                <c:pt idx="582">
                  <c:v>1661.491616921179</c:v>
                </c:pt>
                <c:pt idx="583">
                  <c:v>1657.6205417708159</c:v>
                </c:pt>
                <c:pt idx="584">
                  <c:v>1653.6574181902931</c:v>
                </c:pt>
                <c:pt idx="585">
                  <c:v>1649.6025224877774</c:v>
                </c:pt>
                <c:pt idx="586">
                  <c:v>1645.4561367948838</c:v>
                </c:pt>
                <c:pt idx="587">
                  <c:v>1641.2185490078584</c:v>
                </c:pt>
                <c:pt idx="588">
                  <c:v>1636.8900527273881</c:v>
                </c:pt>
                <c:pt idx="589">
                  <c:v>1632.4709471971014</c:v>
                </c:pt>
                <c:pt idx="590">
                  <c:v>1627.9615372408105</c:v>
                </c:pt>
                <c:pt idx="591">
                  <c:v>1623.362133198551</c:v>
                </c:pt>
                <c:pt idx="592">
                  <c:v>1618.6730508614653</c:v>
                </c:pt>
                <c:pt idx="593">
                  <c:v>1613.8946114055764</c:v>
                </c:pt>
                <c:pt idx="594">
                  <c:v>1609.027141324498</c:v>
                </c:pt>
                <c:pt idx="595">
                  <c:v>1604.0709723611224</c:v>
                </c:pt>
                <c:pt idx="596">
                  <c:v>1599.0264414383273</c:v>
                </c:pt>
                <c:pt idx="597">
                  <c:v>1593.8938905887414</c:v>
                </c:pt>
                <c:pt idx="598">
                  <c:v>1588.6736668836077</c:v>
                </c:pt>
                <c:pt idx="599">
                  <c:v>1583.3661223607819</c:v>
                </c:pt>
                <c:pt idx="600">
                  <c:v>1577.9716139519039</c:v>
                </c:pt>
                <c:pt idx="601">
                  <c:v>1572.490503408776</c:v>
                </c:pt>
                <c:pt idx="602">
                  <c:v>1566.9231572289857</c:v>
                </c:pt>
                <c:pt idx="603">
                  <c:v>1561.2699465808071</c:v>
                </c:pt>
                <c:pt idx="604">
                  <c:v>1555.5312472274147</c:v>
                </c:pt>
                <c:pt idx="605">
                  <c:v>1549.7074394504455</c:v>
                </c:pt>
                <c:pt idx="606">
                  <c:v>1543.7989079729393</c:v>
                </c:pt>
                <c:pt idx="607">
                  <c:v>1537.8060418816954</c:v>
                </c:pt>
                <c:pt idx="608">
                  <c:v>1531.729234549073</c:v>
                </c:pt>
                <c:pt idx="609">
                  <c:v>1525.568883554273</c:v>
                </c:pt>
                <c:pt idx="610">
                  <c:v>1519.3253906041291</c:v>
                </c:pt>
                <c:pt idx="611">
                  <c:v>1512.9991614534433</c:v>
                </c:pt>
                <c:pt idx="612">
                  <c:v>1506.590605824895</c:v>
                </c:pt>
                <c:pt idx="613">
                  <c:v>1500.1001373285574</c:v>
                </c:pt>
                <c:pt idx="614">
                  <c:v>1493.5281733810496</c:v>
                </c:pt>
                <c:pt idx="615">
                  <c:v>1486.8751351243586</c:v>
                </c:pt>
                <c:pt idx="616">
                  <c:v>1480.1414473443585</c:v>
                </c:pt>
                <c:pt idx="617">
                  <c:v>1473.3275383890591</c:v>
                </c:pt>
                <c:pt idx="618">
                  <c:v>1466.4338400866138</c:v>
                </c:pt>
                <c:pt idx="619">
                  <c:v>1459.4607876631162</c:v>
                </c:pt>
                <c:pt idx="620">
                  <c:v>1452.4088196602154</c:v>
                </c:pt>
                <c:pt idx="621">
                  <c:v>1445.2783778525786</c:v>
                </c:pt>
                <c:pt idx="622">
                  <c:v>1438.0699071652305</c:v>
                </c:pt>
                <c:pt idx="623">
                  <c:v>1430.7838555907986</c:v>
                </c:pt>
                <c:pt idx="624">
                  <c:v>1423.4206741066916</c:v>
                </c:pt>
                <c:pt idx="625">
                  <c:v>1415.98081659224</c:v>
                </c:pt>
                <c:pt idx="626">
                  <c:v>1408.4647397458264</c:v>
                </c:pt>
                <c:pt idx="627">
                  <c:v>1400.8729030020334</c:v>
                </c:pt>
                <c:pt idx="628">
                  <c:v>1393.205768448835</c:v>
                </c:pt>
                <c:pt idx="629">
                  <c:v>1385.46380074486</c:v>
                </c:pt>
                <c:pt idx="630">
                  <c:v>1377.6474670367525</c:v>
                </c:pt>
                <c:pt idx="631">
                  <c:v>1369.7572368766569</c:v>
                </c:pt>
                <c:pt idx="632">
                  <c:v>1361.7935821398512</c:v>
                </c:pt>
                <c:pt idx="633">
                  <c:v>1353.7569769425572</c:v>
                </c:pt>
                <c:pt idx="634">
                  <c:v>1345.6478975599487</c:v>
                </c:pt>
                <c:pt idx="635">
                  <c:v>1337.4668223443855</c:v>
                </c:pt>
                <c:pt idx="636">
                  <c:v>1329.2142316438969</c:v>
                </c:pt>
                <c:pt idx="637">
                  <c:v>1320.8906077209367</c:v>
                </c:pt>
                <c:pt idx="638">
                  <c:v>1312.4964346714348</c:v>
                </c:pt>
                <c:pt idx="639">
                  <c:v>1304.0321983441695</c:v>
                </c:pt>
                <c:pt idx="640">
                  <c:v>1295.4983862604802</c:v>
                </c:pt>
                <c:pt idx="641">
                  <c:v>1286.8954875343447</c:v>
                </c:pt>
                <c:pt idx="642">
                  <c:v>1278.2239927928438</c:v>
                </c:pt>
                <c:pt idx="643">
                  <c:v>1269.4843940970311</c:v>
                </c:pt>
                <c:pt idx="644">
                  <c:v>1260.6771848632334</c:v>
                </c:pt>
                <c:pt idx="645">
                  <c:v>1251.8028597847979</c:v>
                </c:pt>
                <c:pt idx="646">
                  <c:v>1242.8619147543097</c:v>
                </c:pt>
                <c:pt idx="647">
                  <c:v>1233.8548467862972</c:v>
                </c:pt>
                <c:pt idx="648">
                  <c:v>1224.7821539404447</c:v>
                </c:pt>
                <c:pt idx="649">
                  <c:v>1215.6443352453314</c:v>
                </c:pt>
                <c:pt idx="650">
                  <c:v>1206.4418906227152</c:v>
                </c:pt>
                <c:pt idx="651">
                  <c:v>1197.1753208123778</c:v>
                </c:pt>
                <c:pt idx="652">
                  <c:v>1187.8451272975499</c:v>
                </c:pt>
                <c:pt idx="653">
                  <c:v>1178.4518122309316</c:v>
                </c:pt>
                <c:pt idx="654">
                  <c:v>1168.9958783613265</c:v>
                </c:pt>
                <c:pt idx="655">
                  <c:v>1159.4778289609026</c:v>
                </c:pt>
                <c:pt idx="656">
                  <c:v>1149.8981677530976</c:v>
                </c:pt>
                <c:pt idx="657">
                  <c:v>1140.2573988411832</c:v>
                </c:pt>
                <c:pt idx="658">
                  <c:v>1130.5560266375005</c:v>
                </c:pt>
                <c:pt idx="659">
                  <c:v>1120.7945557933838</c:v>
                </c:pt>
                <c:pt idx="660">
                  <c:v>1110.973491129784</c:v>
                </c:pt>
                <c:pt idx="661">
                  <c:v>1101.093337568605</c:v>
                </c:pt>
                <c:pt idx="662">
                  <c:v>1091.1546000647654</c:v>
                </c:pt>
                <c:pt idx="663">
                  <c:v>1081.1577835389985</c:v>
                </c:pt>
                <c:pt idx="664">
                  <c:v>1071.1033928114002</c:v>
                </c:pt>
                <c:pt idx="665">
                  <c:v>1060.9919325357382</c:v>
                </c:pt>
                <c:pt idx="666">
                  <c:v>1050.8239071345313</c:v>
                </c:pt>
                <c:pt idx="667">
                  <c:v>1040.5998207349087</c:v>
                </c:pt>
                <c:pt idx="668">
                  <c:v>1030.3201771052607</c:v>
                </c:pt>
                <c:pt idx="669">
                  <c:v>1019.985479592688</c:v>
                </c:pt>
                <c:pt idx="670">
                  <c:v>1009.5962310612599</c:v>
                </c:pt>
                <c:pt idx="671">
                  <c:v>999.15293383108769</c:v>
                </c:pt>
                <c:pt idx="672">
                  <c:v>988.65608961822284</c:v>
                </c:pt>
                <c:pt idx="673">
                  <c:v>978.10619947538635</c:v>
                </c:pt>
                <c:pt idx="674">
                  <c:v>967.50376373353618</c:v>
                </c:pt>
                <c:pt idx="675">
                  <c:v>956.84928194427926</c:v>
                </c:pt>
                <c:pt idx="676">
                  <c:v>946.14325282313382</c:v>
                </c:pt>
                <c:pt idx="677">
                  <c:v>935.38617419364789</c:v>
                </c:pt>
                <c:pt idx="678">
                  <c:v>924.57854293237881</c:v>
                </c:pt>
                <c:pt idx="679">
                  <c:v>913.7208549147382</c:v>
                </c:pt>
                <c:pt idx="680">
                  <c:v>902.81360496170691</c:v>
                </c:pt>
                <c:pt idx="681">
                  <c:v>891.85728678742407</c:v>
                </c:pt>
                <c:pt idx="682">
                  <c:v>880.85239294765222</c:v>
                </c:pt>
                <c:pt idx="683">
                  <c:v>869.79941478912338</c:v>
                </c:pt>
                <c:pt idx="684">
                  <c:v>858.69884239976716</c:v>
                </c:pt>
                <c:pt idx="685">
                  <c:v>847.55116455982375</c:v>
                </c:pt>
                <c:pt idx="686">
                  <c:v>836.35686869384358</c:v>
                </c:pt>
                <c:pt idx="687">
                  <c:v>825.11644082357418</c:v>
                </c:pt>
                <c:pt idx="688">
                  <c:v>813.83036552173689</c:v>
                </c:pt>
                <c:pt idx="689">
                  <c:v>802.49912586669234</c:v>
                </c:pt>
                <c:pt idx="690">
                  <c:v>791.12320339799601</c:v>
                </c:pt>
                <c:pt idx="691">
                  <c:v>779.70307807284337</c:v>
                </c:pt>
                <c:pt idx="692">
                  <c:v>768.23922822340421</c:v>
                </c:pt>
                <c:pt idx="693">
                  <c:v>756.73213051504592</c:v>
                </c:pt>
                <c:pt idx="694">
                  <c:v>745.18225990544306</c:v>
                </c:pt>
                <c:pt idx="695">
                  <c:v>733.59008960457379</c:v>
                </c:pt>
                <c:pt idx="696">
                  <c:v>721.9560910355998</c:v>
                </c:pt>
                <c:pt idx="697">
                  <c:v>710.28073379662828</c:v>
                </c:pt>
                <c:pt idx="698">
                  <c:v>698.56448562335356</c:v>
                </c:pt>
                <c:pt idx="699">
                  <c:v>686.8078123525753</c:v>
                </c:pt>
                <c:pt idx="700">
                  <c:v>675.01117788659064</c:v>
                </c:pt>
                <c:pt idx="701">
                  <c:v>663.17504415845667</c:v>
                </c:pt>
                <c:pt idx="702">
                  <c:v>651.29987109812009</c:v>
                </c:pt>
                <c:pt idx="703">
                  <c:v>639.38611659940921</c:v>
                </c:pt>
                <c:pt idx="704">
                  <c:v>627.43423648788576</c:v>
                </c:pt>
                <c:pt idx="705">
                  <c:v>615.44468448955035</c:v>
                </c:pt>
                <c:pt idx="706">
                  <c:v>603.41791220039818</c:v>
                </c:pt>
                <c:pt idx="707">
                  <c:v>591.35436905681945</c:v>
                </c:pt>
                <c:pt idx="708">
                  <c:v>579.25450230683987</c:v>
                </c:pt>
                <c:pt idx="709">
                  <c:v>567.11875698219558</c:v>
                </c:pt>
                <c:pt idx="710">
                  <c:v>554.9475758712365</c:v>
                </c:pt>
                <c:pt idx="711">
                  <c:v>542.74139949265316</c:v>
                </c:pt>
                <c:pt idx="712">
                  <c:v>530.50066607002066</c:v>
                </c:pt>
                <c:pt idx="713">
                  <c:v>518.22581150715303</c:v>
                </c:pt>
                <c:pt idx="714">
                  <c:v>505.91726936426255</c:v>
                </c:pt>
                <c:pt idx="715">
                  <c:v>493.57547083491659</c:v>
                </c:pt>
                <c:pt idx="716">
                  <c:v>481.20084472378551</c:v>
                </c:pt>
                <c:pt idx="717">
                  <c:v>468.79381742517501</c:v>
                </c:pt>
                <c:pt idx="718">
                  <c:v>456.35481290233514</c:v>
                </c:pt>
                <c:pt idx="719">
                  <c:v>443.88425266753939</c:v>
                </c:pt>
                <c:pt idx="720">
                  <c:v>431.38255576292585</c:v>
                </c:pt>
                <c:pt idx="721">
                  <c:v>418.85013874209352</c:v>
                </c:pt>
                <c:pt idx="722">
                  <c:v>406.28741565244519</c:v>
                </c:pt>
                <c:pt idx="723">
                  <c:v>393.69479801827015</c:v>
                </c:pt>
                <c:pt idx="724">
                  <c:v>381.07269482455757</c:v>
                </c:pt>
                <c:pt idx="725">
                  <c:v>368.4215125015337</c:v>
                </c:pt>
                <c:pt idx="726">
                  <c:v>355.74165490991356</c:v>
                </c:pt>
                <c:pt idx="727">
                  <c:v>343.03352332685989</c:v>
                </c:pt>
                <c:pt idx="728">
                  <c:v>330.29751643263995</c:v>
                </c:pt>
                <c:pt idx="729">
                  <c:v>317.53403029797232</c:v>
                </c:pt>
                <c:pt idx="730">
                  <c:v>304.7434583720551</c:v>
                </c:pt>
                <c:pt idx="731">
                  <c:v>291.92619147126675</c:v>
                </c:pt>
                <c:pt idx="732">
                  <c:v>279.0826177685305</c:v>
                </c:pt>
                <c:pt idx="733">
                  <c:v>266.2131227833342</c:v>
                </c:pt>
                <c:pt idx="734">
                  <c:v>253.31808937239617</c:v>
                </c:pt>
                <c:pt idx="735">
                  <c:v>240.39789772096847</c:v>
                </c:pt>
                <c:pt idx="736">
                  <c:v>227.45292533476845</c:v>
                </c:pt>
                <c:pt idx="737">
                  <c:v>214.4835470325296</c:v>
                </c:pt>
                <c:pt idx="738">
                  <c:v>201.49013493916263</c:v>
                </c:pt>
                <c:pt idx="739">
                  <c:v>188.47305847951776</c:v>
                </c:pt>
                <c:pt idx="740">
                  <c:v>175.43268437273889</c:v>
                </c:pt>
                <c:pt idx="741">
                  <c:v>162.36937662720084</c:v>
                </c:pt>
                <c:pt idx="742">
                  <c:v>149.28349653601992</c:v>
                </c:pt>
                <c:pt idx="743">
                  <c:v>136.17540267312941</c:v>
                </c:pt>
                <c:pt idx="744">
                  <c:v>123.0454508899099</c:v>
                </c:pt>
                <c:pt idx="745">
                  <c:v>109.89399431236589</c:v>
                </c:pt>
                <c:pt idx="746">
                  <c:v>96.721383338839203</c:v>
                </c:pt>
                <c:pt idx="747">
                  <c:v>83.527965638249938</c:v>
                </c:pt>
                <c:pt idx="748">
                  <c:v>70.314086148855893</c:v>
                </c:pt>
                <c:pt idx="749">
                  <c:v>57.080087077521057</c:v>
                </c:pt>
                <c:pt idx="750">
                  <c:v>43.826307899484235</c:v>
                </c:pt>
                <c:pt idx="751">
                  <c:v>30.553085358618382</c:v>
                </c:pt>
                <c:pt idx="752">
                  <c:v>17.260753468171636</c:v>
                </c:pt>
                <c:pt idx="753">
                  <c:v>3.949643511980895</c:v>
                </c:pt>
                <c:pt idx="754">
                  <c:v>-9.3799159538512082</c:v>
                </c:pt>
                <c:pt idx="755">
                  <c:v>-9.3932546652544051</c:v>
                </c:pt>
                <c:pt idx="756">
                  <c:v>-9.406593394618886</c:v>
                </c:pt>
                <c:pt idx="757">
                  <c:v>-9.4199321419443311</c:v>
                </c:pt>
                <c:pt idx="758">
                  <c:v>-9.4332709072304173</c:v>
                </c:pt>
                <c:pt idx="759">
                  <c:v>-9.4466096904768246</c:v>
                </c:pt>
                <c:pt idx="760">
                  <c:v>-9.4599484916832317</c:v>
                </c:pt>
                <c:pt idx="761">
                  <c:v>-9.4732873108493187</c:v>
                </c:pt>
                <c:pt idx="762">
                  <c:v>-9.4866261479747624</c:v>
                </c:pt>
                <c:pt idx="763">
                  <c:v>-9.4999650030592431</c:v>
                </c:pt>
                <c:pt idx="764">
                  <c:v>-9.5133038761024391</c:v>
                </c:pt>
                <c:pt idx="765">
                  <c:v>-9.526642767104029</c:v>
                </c:pt>
                <c:pt idx="766">
                  <c:v>-9.5399816760636913</c:v>
                </c:pt>
                <c:pt idx="767">
                  <c:v>-9.5533206029811044</c:v>
                </c:pt>
                <c:pt idx="768">
                  <c:v>-9.5666595478559486</c:v>
                </c:pt>
                <c:pt idx="769">
                  <c:v>-9.5799985106879024</c:v>
                </c:pt>
                <c:pt idx="770">
                  <c:v>-9.5933374914766443</c:v>
                </c:pt>
                <c:pt idx="771">
                  <c:v>-9.6066764902218544</c:v>
                </c:pt>
                <c:pt idx="772">
                  <c:v>-9.6200155069232096</c:v>
                </c:pt>
                <c:pt idx="773">
                  <c:v>-9.6333545415803901</c:v>
                </c:pt>
                <c:pt idx="774">
                  <c:v>-9.6466935941930743</c:v>
                </c:pt>
                <c:pt idx="775">
                  <c:v>-9.6600326647609407</c:v>
                </c:pt>
                <c:pt idx="776">
                  <c:v>-9.6733717532836696</c:v>
                </c:pt>
                <c:pt idx="777">
                  <c:v>-9.6867108597609377</c:v>
                </c:pt>
                <c:pt idx="778">
                  <c:v>-9.7000499841924253</c:v>
                </c:pt>
                <c:pt idx="779">
                  <c:v>-9.7133891265778125</c:v>
                </c:pt>
                <c:pt idx="780">
                  <c:v>-9.7267282869167762</c:v>
                </c:pt>
                <c:pt idx="781">
                  <c:v>-9.7400674652089965</c:v>
                </c:pt>
                <c:pt idx="782">
                  <c:v>-9.7534066614541519</c:v>
                </c:pt>
                <c:pt idx="783">
                  <c:v>-9.766745875651921</c:v>
                </c:pt>
                <c:pt idx="784">
                  <c:v>-9.7800851078019821</c:v>
                </c:pt>
                <c:pt idx="785">
                  <c:v>-9.7934243579040157</c:v>
                </c:pt>
                <c:pt idx="786">
                  <c:v>-9.8067636259577</c:v>
                </c:pt>
                <c:pt idx="787">
                  <c:v>-9.8201029119627137</c:v>
                </c:pt>
                <c:pt idx="788">
                  <c:v>-9.8334422159187351</c:v>
                </c:pt>
                <c:pt idx="789">
                  <c:v>-9.8467815378254446</c:v>
                </c:pt>
                <c:pt idx="790">
                  <c:v>-9.8601208776825189</c:v>
                </c:pt>
                <c:pt idx="791">
                  <c:v>-9.8734602354896381</c:v>
                </c:pt>
                <c:pt idx="792">
                  <c:v>-9.8867996112464827</c:v>
                </c:pt>
                <c:pt idx="793">
                  <c:v>-9.9001390049527291</c:v>
                </c:pt>
                <c:pt idx="794">
                  <c:v>-9.9134784166080578</c:v>
                </c:pt>
                <c:pt idx="795">
                  <c:v>-9.9268178462121472</c:v>
                </c:pt>
                <c:pt idx="796">
                  <c:v>-9.9401572937646776</c:v>
                </c:pt>
                <c:pt idx="797">
                  <c:v>-9.9534967592653256</c:v>
                </c:pt>
                <c:pt idx="798">
                  <c:v>-9.9668362427137716</c:v>
                </c:pt>
                <c:pt idx="799">
                  <c:v>-9.9801757441096939</c:v>
                </c:pt>
                <c:pt idx="800">
                  <c:v>-9.9935152634527729</c:v>
                </c:pt>
                <c:pt idx="801">
                  <c:v>-10.006854800742685</c:v>
                </c:pt>
                <c:pt idx="802">
                  <c:v>-10.020194355979111</c:v>
                </c:pt>
                <c:pt idx="803">
                  <c:v>-10.033533929161731</c:v>
                </c:pt>
                <c:pt idx="804">
                  <c:v>-10.046873520290221</c:v>
                </c:pt>
                <c:pt idx="805">
                  <c:v>-10.060213129364262</c:v>
                </c:pt>
                <c:pt idx="806">
                  <c:v>-10.073552756383533</c:v>
                </c:pt>
                <c:pt idx="807">
                  <c:v>-10.086892401347711</c:v>
                </c:pt>
                <c:pt idx="808">
                  <c:v>-10.100232064256478</c:v>
                </c:pt>
                <c:pt idx="809">
                  <c:v>-10.11357174510951</c:v>
                </c:pt>
                <c:pt idx="810">
                  <c:v>-10.126911443906488</c:v>
                </c:pt>
                <c:pt idx="811">
                  <c:v>-10.14025116064709</c:v>
                </c:pt>
                <c:pt idx="812">
                  <c:v>-10.153590895330995</c:v>
                </c:pt>
                <c:pt idx="813">
                  <c:v>-10.166930647957882</c:v>
                </c:pt>
                <c:pt idx="814">
                  <c:v>-10.18027041852743</c:v>
                </c:pt>
                <c:pt idx="815">
                  <c:v>-10.193610207039319</c:v>
                </c:pt>
                <c:pt idx="816">
                  <c:v>-10.206950013493227</c:v>
                </c:pt>
                <c:pt idx="817">
                  <c:v>-10.220289837888833</c:v>
                </c:pt>
                <c:pt idx="818">
                  <c:v>-10.233629680225816</c:v>
                </c:pt>
                <c:pt idx="819">
                  <c:v>-10.246969540503855</c:v>
                </c:pt>
                <c:pt idx="820">
                  <c:v>-10.260309418722629</c:v>
                </c:pt>
                <c:pt idx="821">
                  <c:v>-10.273649314881817</c:v>
                </c:pt>
                <c:pt idx="822">
                  <c:v>-10.286989228981099</c:v>
                </c:pt>
                <c:pt idx="823">
                  <c:v>-10.300329161020153</c:v>
                </c:pt>
                <c:pt idx="824">
                  <c:v>-10.313669110998658</c:v>
                </c:pt>
                <c:pt idx="825">
                  <c:v>-10.327009078916292</c:v>
                </c:pt>
                <c:pt idx="826">
                  <c:v>-10.340349064772736</c:v>
                </c:pt>
                <c:pt idx="827">
                  <c:v>-10.353689068567668</c:v>
                </c:pt>
                <c:pt idx="828">
                  <c:v>-10.367029090300768</c:v>
                </c:pt>
                <c:pt idx="829">
                  <c:v>-10.380369129971715</c:v>
                </c:pt>
                <c:pt idx="830">
                  <c:v>-10.393709187580187</c:v>
                </c:pt>
                <c:pt idx="831">
                  <c:v>-10.407049263125863</c:v>
                </c:pt>
                <c:pt idx="832">
                  <c:v>-10.420389356608423</c:v>
                </c:pt>
                <c:pt idx="833">
                  <c:v>-10.433729468027545</c:v>
                </c:pt>
                <c:pt idx="834">
                  <c:v>-10.447069597382908</c:v>
                </c:pt>
                <c:pt idx="835">
                  <c:v>-10.460409744674191</c:v>
                </c:pt>
                <c:pt idx="836">
                  <c:v>-10.473749909901073</c:v>
                </c:pt>
                <c:pt idx="837">
                  <c:v>-10.487090093063236</c:v>
                </c:pt>
                <c:pt idx="838">
                  <c:v>-10.500430294160354</c:v>
                </c:pt>
                <c:pt idx="839">
                  <c:v>-10.51377051319211</c:v>
                </c:pt>
                <c:pt idx="840">
                  <c:v>-10.527110750158181</c:v>
                </c:pt>
                <c:pt idx="841">
                  <c:v>-10.540451005058248</c:v>
                </c:pt>
                <c:pt idx="842">
                  <c:v>-10.553791277891989</c:v>
                </c:pt>
                <c:pt idx="843">
                  <c:v>-10.567131568659082</c:v>
                </c:pt>
                <c:pt idx="844">
                  <c:v>-10.580471877359209</c:v>
                </c:pt>
                <c:pt idx="845">
                  <c:v>-10.593812203992044</c:v>
                </c:pt>
                <c:pt idx="846">
                  <c:v>-10.607152548557272</c:v>
                </c:pt>
                <c:pt idx="847">
                  <c:v>-10.620492911054567</c:v>
                </c:pt>
                <c:pt idx="848">
                  <c:v>-10.633833291483612</c:v>
                </c:pt>
                <c:pt idx="849">
                  <c:v>-10.647173689844083</c:v>
                </c:pt>
                <c:pt idx="850">
                  <c:v>-10.660514106135661</c:v>
                </c:pt>
                <c:pt idx="851">
                  <c:v>-10.673854540358025</c:v>
                </c:pt>
                <c:pt idx="852">
                  <c:v>-10.687194992510854</c:v>
                </c:pt>
                <c:pt idx="853">
                  <c:v>-10.700535462593827</c:v>
                </c:pt>
                <c:pt idx="854">
                  <c:v>-10.713875950606621</c:v>
                </c:pt>
                <c:pt idx="855">
                  <c:v>-10.727216456548918</c:v>
                </c:pt>
                <c:pt idx="856">
                  <c:v>-10.740556980420395</c:v>
                </c:pt>
                <c:pt idx="857">
                  <c:v>-10.753897522220733</c:v>
                </c:pt>
                <c:pt idx="858">
                  <c:v>-10.767238081949611</c:v>
                </c:pt>
                <c:pt idx="859">
                  <c:v>-10.780578659606705</c:v>
                </c:pt>
                <c:pt idx="860">
                  <c:v>-10.793919255191698</c:v>
                </c:pt>
                <c:pt idx="861">
                  <c:v>-10.807259868704268</c:v>
                </c:pt>
                <c:pt idx="862">
                  <c:v>-10.820600500144094</c:v>
                </c:pt>
                <c:pt idx="863">
                  <c:v>-10.833941149510855</c:v>
                </c:pt>
                <c:pt idx="864">
                  <c:v>-10.847281816804228</c:v>
                </c:pt>
                <c:pt idx="865">
                  <c:v>-10.860622502023896</c:v>
                </c:pt>
                <c:pt idx="866">
                  <c:v>-10.873963205169535</c:v>
                </c:pt>
                <c:pt idx="867">
                  <c:v>-10.887303926240826</c:v>
                </c:pt>
                <c:pt idx="868">
                  <c:v>-10.900644665237447</c:v>
                </c:pt>
                <c:pt idx="869">
                  <c:v>-10.913985422159078</c:v>
                </c:pt>
                <c:pt idx="870">
                  <c:v>-10.927326197005398</c:v>
                </c:pt>
                <c:pt idx="871">
                  <c:v>-10.940666989776085</c:v>
                </c:pt>
                <c:pt idx="872">
                  <c:v>-10.954007800470819</c:v>
                </c:pt>
                <c:pt idx="873">
                  <c:v>-10.96734862908928</c:v>
                </c:pt>
                <c:pt idx="874">
                  <c:v>-10.980689475631145</c:v>
                </c:pt>
                <c:pt idx="875">
                  <c:v>-10.994030340096096</c:v>
                </c:pt>
                <c:pt idx="876">
                  <c:v>-11.00737122248381</c:v>
                </c:pt>
                <c:pt idx="877">
                  <c:v>-11.020712122793967</c:v>
                </c:pt>
                <c:pt idx="878">
                  <c:v>-11.034053041026246</c:v>
                </c:pt>
                <c:pt idx="879">
                  <c:v>-11.047393977180326</c:v>
                </c:pt>
                <c:pt idx="880">
                  <c:v>-11.060734931255885</c:v>
                </c:pt>
                <c:pt idx="881">
                  <c:v>-11.074075903252604</c:v>
                </c:pt>
                <c:pt idx="882">
                  <c:v>-11.087416893170161</c:v>
                </c:pt>
                <c:pt idx="883">
                  <c:v>-11.100757901008237</c:v>
                </c:pt>
                <c:pt idx="884">
                  <c:v>-11.114098926766509</c:v>
                </c:pt>
                <c:pt idx="885">
                  <c:v>-11.127439970444657</c:v>
                </c:pt>
                <c:pt idx="886">
                  <c:v>-11.14078103204236</c:v>
                </c:pt>
                <c:pt idx="887">
                  <c:v>-11.154122111559298</c:v>
                </c:pt>
                <c:pt idx="888">
                  <c:v>-11.16746320899515</c:v>
                </c:pt>
                <c:pt idx="889">
                  <c:v>-11.180804324349594</c:v>
                </c:pt>
                <c:pt idx="890">
                  <c:v>-11.194145457622311</c:v>
                </c:pt>
                <c:pt idx="891">
                  <c:v>-11.207486608812978</c:v>
                </c:pt>
                <c:pt idx="892">
                  <c:v>-11.220827777921276</c:v>
                </c:pt>
                <c:pt idx="893">
                  <c:v>-11.234168964946884</c:v>
                </c:pt>
                <c:pt idx="894">
                  <c:v>-11.24751016988948</c:v>
                </c:pt>
                <c:pt idx="895">
                  <c:v>-11.260851392748744</c:v>
                </c:pt>
                <c:pt idx="896">
                  <c:v>-11.274192633524356</c:v>
                </c:pt>
                <c:pt idx="897">
                  <c:v>-11.287533892215993</c:v>
                </c:pt>
                <c:pt idx="898">
                  <c:v>-11.300875168823337</c:v>
                </c:pt>
                <c:pt idx="899">
                  <c:v>-11.314216463346066</c:v>
                </c:pt>
                <c:pt idx="900">
                  <c:v>-11.327557775783859</c:v>
                </c:pt>
                <c:pt idx="901">
                  <c:v>-11.340899106136394</c:v>
                </c:pt>
                <c:pt idx="902">
                  <c:v>-11.354240454403353</c:v>
                </c:pt>
                <c:pt idx="903">
                  <c:v>-11.367581820584414</c:v>
                </c:pt>
                <c:pt idx="904">
                  <c:v>-11.380923204679256</c:v>
                </c:pt>
                <c:pt idx="905">
                  <c:v>-11.394264606687557</c:v>
                </c:pt>
                <c:pt idx="906">
                  <c:v>-11.407606026608997</c:v>
                </c:pt>
                <c:pt idx="907">
                  <c:v>-11.420947464443257</c:v>
                </c:pt>
                <c:pt idx="908">
                  <c:v>-11.434288920190015</c:v>
                </c:pt>
                <c:pt idx="909">
                  <c:v>-11.44763039384895</c:v>
                </c:pt>
                <c:pt idx="910">
                  <c:v>-11.460971885419742</c:v>
                </c:pt>
                <c:pt idx="911">
                  <c:v>-11.474313394902069</c:v>
                </c:pt>
                <c:pt idx="912">
                  <c:v>-11.48765492229561</c:v>
                </c:pt>
                <c:pt idx="913">
                  <c:v>-11.500996467600045</c:v>
                </c:pt>
                <c:pt idx="914">
                  <c:v>-11.514338030815054</c:v>
                </c:pt>
                <c:pt idx="915">
                  <c:v>-11.527679611940316</c:v>
                </c:pt>
                <c:pt idx="916">
                  <c:v>-11.54102121097551</c:v>
                </c:pt>
                <c:pt idx="917">
                  <c:v>-11.554362827920315</c:v>
                </c:pt>
                <c:pt idx="918">
                  <c:v>-11.56770446277441</c:v>
                </c:pt>
                <c:pt idx="919">
                  <c:v>-11.581046115537475</c:v>
                </c:pt>
                <c:pt idx="920">
                  <c:v>-11.59438778620919</c:v>
                </c:pt>
                <c:pt idx="921">
                  <c:v>-11.607729474789233</c:v>
                </c:pt>
                <c:pt idx="922">
                  <c:v>-11.621071181277284</c:v>
                </c:pt>
                <c:pt idx="923">
                  <c:v>-11.63441290567302</c:v>
                </c:pt>
                <c:pt idx="924">
                  <c:v>-11.647754647976123</c:v>
                </c:pt>
                <c:pt idx="925">
                  <c:v>-11.661096408186271</c:v>
                </c:pt>
                <c:pt idx="926">
                  <c:v>-11.674438186303144</c:v>
                </c:pt>
                <c:pt idx="927">
                  <c:v>-11.68777998232642</c:v>
                </c:pt>
                <c:pt idx="928">
                  <c:v>-11.70112179625578</c:v>
                </c:pt>
                <c:pt idx="929">
                  <c:v>-11.714463628090902</c:v>
                </c:pt>
                <c:pt idx="930">
                  <c:v>-11.727805477831467</c:v>
                </c:pt>
                <c:pt idx="931">
                  <c:v>-11.741147345477152</c:v>
                </c:pt>
                <c:pt idx="932">
                  <c:v>-11.754489231027639</c:v>
                </c:pt>
                <c:pt idx="933">
                  <c:v>-11.767831134482606</c:v>
                </c:pt>
                <c:pt idx="934">
                  <c:v>-11.78117305584173</c:v>
                </c:pt>
                <c:pt idx="935">
                  <c:v>-11.794514995104693</c:v>
                </c:pt>
                <c:pt idx="936">
                  <c:v>-11.807856952271175</c:v>
                </c:pt>
                <c:pt idx="937">
                  <c:v>-11.821198927340854</c:v>
                </c:pt>
                <c:pt idx="938">
                  <c:v>-11.834540920313408</c:v>
                </c:pt>
                <c:pt idx="939">
                  <c:v>-11.847882931188519</c:v>
                </c:pt>
                <c:pt idx="940">
                  <c:v>-11.861224959965863</c:v>
                </c:pt>
                <c:pt idx="941">
                  <c:v>-11.874567006645123</c:v>
                </c:pt>
                <c:pt idx="942">
                  <c:v>-11.887909071225977</c:v>
                </c:pt>
                <c:pt idx="943">
                  <c:v>-11.901251153708102</c:v>
                </c:pt>
                <c:pt idx="944">
                  <c:v>-11.914593254091182</c:v>
                </c:pt>
                <c:pt idx="945">
                  <c:v>-11.927935372374893</c:v>
                </c:pt>
                <c:pt idx="946">
                  <c:v>-11.941277508558915</c:v>
                </c:pt>
                <c:pt idx="947">
                  <c:v>-11.954619662642928</c:v>
                </c:pt>
                <c:pt idx="948">
                  <c:v>-11.96796183462661</c:v>
                </c:pt>
                <c:pt idx="949">
                  <c:v>-11.98130402450964</c:v>
                </c:pt>
                <c:pt idx="950">
                  <c:v>-11.9946462322917</c:v>
                </c:pt>
                <c:pt idx="951">
                  <c:v>-12.007988457972466</c:v>
                </c:pt>
                <c:pt idx="952">
                  <c:v>-12.021330701551621</c:v>
                </c:pt>
                <c:pt idx="953">
                  <c:v>-12.034672963028841</c:v>
                </c:pt>
                <c:pt idx="954">
                  <c:v>-12.048015242403807</c:v>
                </c:pt>
                <c:pt idx="955">
                  <c:v>-12.061357539676198</c:v>
                </c:pt>
                <c:pt idx="956">
                  <c:v>-12.074699854845694</c:v>
                </c:pt>
                <c:pt idx="957">
                  <c:v>-12.088042187911974</c:v>
                </c:pt>
                <c:pt idx="958">
                  <c:v>-12.101384538874717</c:v>
                </c:pt>
                <c:pt idx="959">
                  <c:v>-12.114726907733603</c:v>
                </c:pt>
                <c:pt idx="960">
                  <c:v>-12.128069294488311</c:v>
                </c:pt>
                <c:pt idx="961">
                  <c:v>-12.141411699138521</c:v>
                </c:pt>
                <c:pt idx="962">
                  <c:v>-12.154754121683911</c:v>
                </c:pt>
                <c:pt idx="963">
                  <c:v>-12.168096562124163</c:v>
                </c:pt>
                <c:pt idx="964">
                  <c:v>-12.181439020458953</c:v>
                </c:pt>
                <c:pt idx="965">
                  <c:v>-12.194781496687963</c:v>
                </c:pt>
                <c:pt idx="966">
                  <c:v>-12.20812399081087</c:v>
                </c:pt>
                <c:pt idx="967">
                  <c:v>-12.221466502827356</c:v>
                </c:pt>
                <c:pt idx="968">
                  <c:v>-12.234809032737099</c:v>
                </c:pt>
                <c:pt idx="969">
                  <c:v>-12.248151580539778</c:v>
                </c:pt>
                <c:pt idx="970">
                  <c:v>-12.261494146235073</c:v>
                </c:pt>
                <c:pt idx="971">
                  <c:v>-12.274836729822663</c:v>
                </c:pt>
                <c:pt idx="972">
                  <c:v>-12.28817933130223</c:v>
                </c:pt>
                <c:pt idx="973">
                  <c:v>-12.30152195067345</c:v>
                </c:pt>
                <c:pt idx="974">
                  <c:v>-12.314864587936004</c:v>
                </c:pt>
                <c:pt idx="975">
                  <c:v>-12.328207243089571</c:v>
                </c:pt>
                <c:pt idx="976">
                  <c:v>-12.341549916133831</c:v>
                </c:pt>
                <c:pt idx="977">
                  <c:v>-12.354892607068463</c:v>
                </c:pt>
                <c:pt idx="978">
                  <c:v>-12.368235315893145</c:v>
                </c:pt>
                <c:pt idx="979">
                  <c:v>-12.381578042607558</c:v>
                </c:pt>
                <c:pt idx="980">
                  <c:v>-12.394920787211381</c:v>
                </c:pt>
                <c:pt idx="981">
                  <c:v>-12.408263549704294</c:v>
                </c:pt>
                <c:pt idx="982">
                  <c:v>-12.421606330085977</c:v>
                </c:pt>
                <c:pt idx="983">
                  <c:v>-12.434949128356108</c:v>
                </c:pt>
                <c:pt idx="984">
                  <c:v>-12.448291944514366</c:v>
                </c:pt>
                <c:pt idx="985">
                  <c:v>-12.461634778560434</c:v>
                </c:pt>
                <c:pt idx="986">
                  <c:v>-12.474977630493989</c:v>
                </c:pt>
                <c:pt idx="987">
                  <c:v>-12.488320500314709</c:v>
                </c:pt>
                <c:pt idx="988">
                  <c:v>-12.501663388022275</c:v>
                </c:pt>
                <c:pt idx="989">
                  <c:v>-12.515006293616366</c:v>
                </c:pt>
                <c:pt idx="990">
                  <c:v>-12.528349217096663</c:v>
                </c:pt>
                <c:pt idx="991">
                  <c:v>-12.541692158462842</c:v>
                </c:pt>
                <c:pt idx="992">
                  <c:v>-12.555035117714587</c:v>
                </c:pt>
                <c:pt idx="993">
                  <c:v>-12.568378094851573</c:v>
                </c:pt>
                <c:pt idx="994">
                  <c:v>-12.581721089873483</c:v>
                </c:pt>
                <c:pt idx="995">
                  <c:v>-12.595064102779995</c:v>
                </c:pt>
                <c:pt idx="996">
                  <c:v>-12.608407133570788</c:v>
                </c:pt>
                <c:pt idx="997">
                  <c:v>-12.621750182245542</c:v>
                </c:pt>
                <c:pt idx="998">
                  <c:v>-12.635093248803937</c:v>
                </c:pt>
                <c:pt idx="999">
                  <c:v>-12.648436333245652</c:v>
                </c:pt>
                <c:pt idx="1000">
                  <c:v>-12.661779435570367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51-4567-B7A1-067915120221}"/>
            </c:ext>
          </c:extLst>
        </c:ser>
        <c:ser>
          <c:idx val="2"/>
          <c:order val="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51-4567-B7A1-06791512022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Trajecto!$B$131:$B$137</c:f>
              <c:numCache>
                <c:formatCode>0.0</c:formatCode>
                <c:ptCount val="7"/>
                <c:pt idx="0">
                  <c:v>21.8</c:v>
                </c:pt>
                <c:pt idx="1">
                  <c:v>60.989749799543368</c:v>
                </c:pt>
                <c:pt idx="2">
                  <c:v>100.17949959908674</c:v>
                </c:pt>
                <c:pt idx="3">
                  <c:v>99.066880603620945</c:v>
                </c:pt>
                <c:pt idx="4">
                  <c:v>100.17949959908674</c:v>
                </c:pt>
                <c:pt idx="5">
                  <c:v>95.126880603620918</c:v>
                </c:pt>
                <c:pt idx="6">
                  <c:v>100.17949959908674</c:v>
                </c:pt>
              </c:numCache>
            </c:numRef>
          </c:xVal>
          <c:yVal>
            <c:numRef>
              <c:f>Trajecto!$C$129:$C$135</c:f>
              <c:numCache>
                <c:formatCode>0</c:formatCode>
                <c:ptCount val="7"/>
                <c:pt idx="0">
                  <c:v>1676.0501140492172</c:v>
                </c:pt>
                <c:pt idx="1">
                  <c:v>838.0250570246086</c:v>
                </c:pt>
                <c:pt idx="2">
                  <c:v>0</c:v>
                </c:pt>
                <c:pt idx="3">
                  <c:v>95.118873068625589</c:v>
                </c:pt>
                <c:pt idx="4">
                  <c:v>0</c:v>
                </c:pt>
                <c:pt idx="5">
                  <c:v>41.625224321018834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51-4567-B7A1-067915120221}"/>
            </c:ext>
          </c:extLst>
        </c:ser>
        <c:ser>
          <c:idx val="3"/>
          <c:order val="4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51-4567-B7A1-06791512022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Trajecto!$B$148:$B$154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Trajecto!$C$146:$C$152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51-4567-B7A1-067915120221}"/>
            </c:ext>
          </c:extLst>
        </c:ser>
        <c:ser>
          <c:idx val="5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1-4567-B7A1-067915120221}"/>
            </c:ext>
          </c:extLst>
        </c:ser>
        <c:ser>
          <c:idx val="6"/>
          <c:order val="6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Trajecto!$B$157</c:f>
              <c:numCache>
                <c:formatCode>General</c:formatCode>
                <c:ptCount val="1"/>
                <c:pt idx="0">
                  <c:v>5.45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838.0250570246086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51-4567-B7A1-067915120221}"/>
            </c:ext>
          </c:extLst>
        </c:ser>
        <c:ser>
          <c:idx val="7"/>
          <c:order val="7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Trajecto!$B$158</c:f>
              <c:numCache>
                <c:formatCode>General</c:formatCode>
                <c:ptCount val="1"/>
                <c:pt idx="0">
                  <c:v>28.800000000000097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869.22304883396419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51-4567-B7A1-067915120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5008"/>
        <c:axId val="149276928"/>
      </c:scatterChart>
      <c:valAx>
        <c:axId val="14927500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Trajecto!$B$112</c:f>
              <c:strCache>
                <c:ptCount val="1"/>
                <c:pt idx="0">
                  <c:v>Temps [s]</c:v>
                </c:pt>
              </c:strCache>
            </c:strRef>
          </c:tx>
          <c:layout>
            <c:manualLayout>
              <c:xMode val="edge"/>
              <c:yMode val="edge"/>
              <c:x val="0.60555551848391842"/>
              <c:y val="0.8513930569999506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276928"/>
        <c:crosses val="autoZero"/>
        <c:crossBetween val="midCat"/>
      </c:valAx>
      <c:valAx>
        <c:axId val="1492769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9.0000333644735087E-2"/>
              <c:y val="6.8111391736410315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275008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Forces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4183243282920064"/>
        </c:manualLayout>
      </c:layout>
      <c:scatterChart>
        <c:scatterStyle val="lineMarker"/>
        <c:varyColors val="0"/>
        <c:ser>
          <c:idx val="1"/>
          <c:order val="0"/>
          <c:tx>
            <c:strRef>
              <c:f>Courbes!$B$134</c:f>
              <c:strCache>
                <c:ptCount val="1"/>
                <c:pt idx="0">
                  <c:v>Poussée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Calculs!$Q$4:$Q$1004</c:f>
              <c:numCache>
                <c:formatCode>0.00</c:formatCode>
                <c:ptCount val="1001"/>
                <c:pt idx="0">
                  <c:v>0</c:v>
                </c:pt>
                <c:pt idx="1">
                  <c:v>89.3</c:v>
                </c:pt>
                <c:pt idx="2">
                  <c:v>267.89999999999998</c:v>
                </c:pt>
                <c:pt idx="3">
                  <c:v>446.49999999999994</c:v>
                </c:pt>
                <c:pt idx="4">
                  <c:v>625.1</c:v>
                </c:pt>
                <c:pt idx="5">
                  <c:v>803.7</c:v>
                </c:pt>
                <c:pt idx="6">
                  <c:v>891.94444444444446</c:v>
                </c:pt>
                <c:pt idx="7">
                  <c:v>889.83333333333337</c:v>
                </c:pt>
                <c:pt idx="8">
                  <c:v>887.72222222222217</c:v>
                </c:pt>
                <c:pt idx="9">
                  <c:v>885.61111111111109</c:v>
                </c:pt>
                <c:pt idx="10">
                  <c:v>883.5</c:v>
                </c:pt>
                <c:pt idx="11">
                  <c:v>881.38888888888891</c:v>
                </c:pt>
                <c:pt idx="12">
                  <c:v>879.27777777777783</c:v>
                </c:pt>
                <c:pt idx="13">
                  <c:v>877.16666666666663</c:v>
                </c:pt>
                <c:pt idx="14">
                  <c:v>875.05555555555554</c:v>
                </c:pt>
                <c:pt idx="15">
                  <c:v>872.94444444444446</c:v>
                </c:pt>
                <c:pt idx="16">
                  <c:v>870.83333333333337</c:v>
                </c:pt>
                <c:pt idx="17">
                  <c:v>868.72222222222217</c:v>
                </c:pt>
                <c:pt idx="18">
                  <c:v>866.61111111111109</c:v>
                </c:pt>
                <c:pt idx="19">
                  <c:v>864.5</c:v>
                </c:pt>
                <c:pt idx="20">
                  <c:v>862.38888888888891</c:v>
                </c:pt>
                <c:pt idx="21">
                  <c:v>860.27777777777783</c:v>
                </c:pt>
                <c:pt idx="22">
                  <c:v>858.16666666666663</c:v>
                </c:pt>
                <c:pt idx="23">
                  <c:v>856.05555555555554</c:v>
                </c:pt>
                <c:pt idx="24">
                  <c:v>853.94444444444446</c:v>
                </c:pt>
                <c:pt idx="25">
                  <c:v>851.83333333333337</c:v>
                </c:pt>
                <c:pt idx="26">
                  <c:v>849.72222222222217</c:v>
                </c:pt>
                <c:pt idx="27">
                  <c:v>847.61111111111109</c:v>
                </c:pt>
                <c:pt idx="28">
                  <c:v>845.5</c:v>
                </c:pt>
                <c:pt idx="29">
                  <c:v>843.38888888888891</c:v>
                </c:pt>
                <c:pt idx="30">
                  <c:v>841.27777777777771</c:v>
                </c:pt>
                <c:pt idx="31">
                  <c:v>839.16666666666663</c:v>
                </c:pt>
                <c:pt idx="32">
                  <c:v>837.05555555555554</c:v>
                </c:pt>
                <c:pt idx="33">
                  <c:v>834.94444444444446</c:v>
                </c:pt>
                <c:pt idx="34">
                  <c:v>832.83333333333326</c:v>
                </c:pt>
                <c:pt idx="35">
                  <c:v>830.72222222222217</c:v>
                </c:pt>
                <c:pt idx="36">
                  <c:v>828.61111111111109</c:v>
                </c:pt>
                <c:pt idx="37">
                  <c:v>826.5</c:v>
                </c:pt>
                <c:pt idx="38">
                  <c:v>824.38888888888891</c:v>
                </c:pt>
                <c:pt idx="39">
                  <c:v>822.27777777777771</c:v>
                </c:pt>
                <c:pt idx="40">
                  <c:v>820.16666666666663</c:v>
                </c:pt>
                <c:pt idx="41">
                  <c:v>818.05555555555554</c:v>
                </c:pt>
                <c:pt idx="42">
                  <c:v>815.94444444444434</c:v>
                </c:pt>
                <c:pt idx="43">
                  <c:v>813.83333333333326</c:v>
                </c:pt>
                <c:pt idx="44">
                  <c:v>811.72222222222217</c:v>
                </c:pt>
                <c:pt idx="45">
                  <c:v>809.61111111111109</c:v>
                </c:pt>
                <c:pt idx="46">
                  <c:v>807.5</c:v>
                </c:pt>
                <c:pt idx="47">
                  <c:v>805.3888888888888</c:v>
                </c:pt>
                <c:pt idx="48">
                  <c:v>803.27777777777771</c:v>
                </c:pt>
                <c:pt idx="49">
                  <c:v>801.16666666666663</c:v>
                </c:pt>
                <c:pt idx="50">
                  <c:v>799.05555555555554</c:v>
                </c:pt>
                <c:pt idx="51">
                  <c:v>797.41</c:v>
                </c:pt>
                <c:pt idx="52">
                  <c:v>796.23</c:v>
                </c:pt>
                <c:pt idx="53">
                  <c:v>795.05</c:v>
                </c:pt>
                <c:pt idx="54">
                  <c:v>793.87</c:v>
                </c:pt>
                <c:pt idx="55">
                  <c:v>792.68999999999994</c:v>
                </c:pt>
                <c:pt idx="56">
                  <c:v>791.51</c:v>
                </c:pt>
                <c:pt idx="57">
                  <c:v>790.32999999999993</c:v>
                </c:pt>
                <c:pt idx="58">
                  <c:v>789.15</c:v>
                </c:pt>
                <c:pt idx="59">
                  <c:v>787.96999999999991</c:v>
                </c:pt>
                <c:pt idx="60">
                  <c:v>786.79</c:v>
                </c:pt>
                <c:pt idx="61">
                  <c:v>785.61</c:v>
                </c:pt>
                <c:pt idx="62">
                  <c:v>784.43</c:v>
                </c:pt>
                <c:pt idx="63">
                  <c:v>783.25</c:v>
                </c:pt>
                <c:pt idx="64">
                  <c:v>782.06999999999994</c:v>
                </c:pt>
                <c:pt idx="65">
                  <c:v>780.89</c:v>
                </c:pt>
                <c:pt idx="66">
                  <c:v>779.70999999999992</c:v>
                </c:pt>
                <c:pt idx="67">
                  <c:v>778.53</c:v>
                </c:pt>
                <c:pt idx="68">
                  <c:v>777.34999999999991</c:v>
                </c:pt>
                <c:pt idx="69">
                  <c:v>776.17</c:v>
                </c:pt>
                <c:pt idx="70">
                  <c:v>774.99</c:v>
                </c:pt>
                <c:pt idx="71">
                  <c:v>773.81</c:v>
                </c:pt>
                <c:pt idx="72">
                  <c:v>772.63</c:v>
                </c:pt>
                <c:pt idx="73">
                  <c:v>771.44999999999993</c:v>
                </c:pt>
                <c:pt idx="74">
                  <c:v>770.27</c:v>
                </c:pt>
                <c:pt idx="75">
                  <c:v>769.08999999999992</c:v>
                </c:pt>
                <c:pt idx="76">
                  <c:v>767.91</c:v>
                </c:pt>
                <c:pt idx="77">
                  <c:v>766.7299999999999</c:v>
                </c:pt>
                <c:pt idx="78">
                  <c:v>765.55</c:v>
                </c:pt>
                <c:pt idx="79">
                  <c:v>764.36999999999989</c:v>
                </c:pt>
                <c:pt idx="80">
                  <c:v>763.18999999999994</c:v>
                </c:pt>
                <c:pt idx="81">
                  <c:v>762.01</c:v>
                </c:pt>
                <c:pt idx="82">
                  <c:v>760.82999999999993</c:v>
                </c:pt>
                <c:pt idx="83">
                  <c:v>759.65</c:v>
                </c:pt>
                <c:pt idx="84">
                  <c:v>758.46999999999991</c:v>
                </c:pt>
                <c:pt idx="85">
                  <c:v>757.29</c:v>
                </c:pt>
                <c:pt idx="86">
                  <c:v>756.1099999999999</c:v>
                </c:pt>
                <c:pt idx="87">
                  <c:v>754.93</c:v>
                </c:pt>
                <c:pt idx="88">
                  <c:v>753.74999999999989</c:v>
                </c:pt>
                <c:pt idx="89">
                  <c:v>752.56999999999994</c:v>
                </c:pt>
                <c:pt idx="90">
                  <c:v>751.38999999999987</c:v>
                </c:pt>
                <c:pt idx="91">
                  <c:v>750.20999999999992</c:v>
                </c:pt>
                <c:pt idx="92">
                  <c:v>749.03</c:v>
                </c:pt>
                <c:pt idx="93">
                  <c:v>747.84999999999991</c:v>
                </c:pt>
                <c:pt idx="94">
                  <c:v>746.67</c:v>
                </c:pt>
                <c:pt idx="95">
                  <c:v>745.4899999999999</c:v>
                </c:pt>
                <c:pt idx="96">
                  <c:v>744.31</c:v>
                </c:pt>
                <c:pt idx="97">
                  <c:v>743.12999999999988</c:v>
                </c:pt>
                <c:pt idx="98">
                  <c:v>741.94999999999993</c:v>
                </c:pt>
                <c:pt idx="99">
                  <c:v>740.77</c:v>
                </c:pt>
                <c:pt idx="100">
                  <c:v>739.58999999999992</c:v>
                </c:pt>
                <c:pt idx="101">
                  <c:v>738.19999999999982</c:v>
                </c:pt>
                <c:pt idx="102">
                  <c:v>736.59999999999991</c:v>
                </c:pt>
                <c:pt idx="103">
                  <c:v>734.99999999999989</c:v>
                </c:pt>
                <c:pt idx="104">
                  <c:v>733.39999999999986</c:v>
                </c:pt>
                <c:pt idx="105">
                  <c:v>731.79999999999984</c:v>
                </c:pt>
                <c:pt idx="106">
                  <c:v>730.19999999999982</c:v>
                </c:pt>
                <c:pt idx="107">
                  <c:v>728.59999999999991</c:v>
                </c:pt>
                <c:pt idx="108">
                  <c:v>726.99999999999989</c:v>
                </c:pt>
                <c:pt idx="109">
                  <c:v>725.39999999999986</c:v>
                </c:pt>
                <c:pt idx="110">
                  <c:v>723.79999999999984</c:v>
                </c:pt>
                <c:pt idx="111">
                  <c:v>722.19999999999982</c:v>
                </c:pt>
                <c:pt idx="112">
                  <c:v>720.59999999999991</c:v>
                </c:pt>
                <c:pt idx="113">
                  <c:v>718.99999999999989</c:v>
                </c:pt>
                <c:pt idx="114">
                  <c:v>717.39999999999986</c:v>
                </c:pt>
                <c:pt idx="115">
                  <c:v>715.79999999999984</c:v>
                </c:pt>
                <c:pt idx="116">
                  <c:v>714.19999999999982</c:v>
                </c:pt>
                <c:pt idx="117">
                  <c:v>712.59999999999991</c:v>
                </c:pt>
                <c:pt idx="118">
                  <c:v>710.99999999999989</c:v>
                </c:pt>
                <c:pt idx="119">
                  <c:v>709.39999999999986</c:v>
                </c:pt>
                <c:pt idx="120">
                  <c:v>707.79999999999984</c:v>
                </c:pt>
                <c:pt idx="121">
                  <c:v>706.19999999999982</c:v>
                </c:pt>
                <c:pt idx="122">
                  <c:v>704.5999999999998</c:v>
                </c:pt>
                <c:pt idx="123">
                  <c:v>702.99999999999989</c:v>
                </c:pt>
                <c:pt idx="124">
                  <c:v>701.39999999999986</c:v>
                </c:pt>
                <c:pt idx="125">
                  <c:v>699.79999999999984</c:v>
                </c:pt>
                <c:pt idx="126">
                  <c:v>698.19999999999982</c:v>
                </c:pt>
                <c:pt idx="127">
                  <c:v>696.5999999999998</c:v>
                </c:pt>
                <c:pt idx="128">
                  <c:v>694.99999999999989</c:v>
                </c:pt>
                <c:pt idx="129">
                  <c:v>693.39999999999986</c:v>
                </c:pt>
                <c:pt idx="130">
                  <c:v>691.79999999999984</c:v>
                </c:pt>
                <c:pt idx="131">
                  <c:v>690.19999999999982</c:v>
                </c:pt>
                <c:pt idx="132">
                  <c:v>688.5999999999998</c:v>
                </c:pt>
                <c:pt idx="133">
                  <c:v>686.99999999999977</c:v>
                </c:pt>
                <c:pt idx="134">
                  <c:v>685.39999999999986</c:v>
                </c:pt>
                <c:pt idx="135">
                  <c:v>683.79999999999984</c:v>
                </c:pt>
                <c:pt idx="136">
                  <c:v>682.19999999999982</c:v>
                </c:pt>
                <c:pt idx="137">
                  <c:v>680.5999999999998</c:v>
                </c:pt>
                <c:pt idx="138">
                  <c:v>678.99999999999977</c:v>
                </c:pt>
                <c:pt idx="139">
                  <c:v>677.39999999999986</c:v>
                </c:pt>
                <c:pt idx="140">
                  <c:v>675.79999999999984</c:v>
                </c:pt>
                <c:pt idx="141">
                  <c:v>674.19999999999982</c:v>
                </c:pt>
                <c:pt idx="142">
                  <c:v>672.5999999999998</c:v>
                </c:pt>
                <c:pt idx="143">
                  <c:v>670.99999999999977</c:v>
                </c:pt>
                <c:pt idx="144">
                  <c:v>669.39999999999986</c:v>
                </c:pt>
                <c:pt idx="145">
                  <c:v>667.79999999999984</c:v>
                </c:pt>
                <c:pt idx="146">
                  <c:v>666.19999999999982</c:v>
                </c:pt>
                <c:pt idx="147">
                  <c:v>664.5999999999998</c:v>
                </c:pt>
                <c:pt idx="148">
                  <c:v>662.99999999999977</c:v>
                </c:pt>
                <c:pt idx="149">
                  <c:v>661.39999999999986</c:v>
                </c:pt>
                <c:pt idx="150">
                  <c:v>659.79999999999984</c:v>
                </c:pt>
                <c:pt idx="151">
                  <c:v>658.26999999999987</c:v>
                </c:pt>
                <c:pt idx="152">
                  <c:v>656.80999999999983</c:v>
                </c:pt>
                <c:pt idx="153">
                  <c:v>655.3499999999998</c:v>
                </c:pt>
                <c:pt idx="154">
                  <c:v>653.88999999999987</c:v>
                </c:pt>
                <c:pt idx="155">
                  <c:v>652.42999999999984</c:v>
                </c:pt>
                <c:pt idx="156">
                  <c:v>650.9699999999998</c:v>
                </c:pt>
                <c:pt idx="157">
                  <c:v>649.50999999999976</c:v>
                </c:pt>
                <c:pt idx="158">
                  <c:v>648.04999999999984</c:v>
                </c:pt>
                <c:pt idx="159">
                  <c:v>646.5899999999998</c:v>
                </c:pt>
                <c:pt idx="160">
                  <c:v>645.12999999999977</c:v>
                </c:pt>
                <c:pt idx="161">
                  <c:v>643.66999999999985</c:v>
                </c:pt>
                <c:pt idx="162">
                  <c:v>642.20999999999981</c:v>
                </c:pt>
                <c:pt idx="163">
                  <c:v>640.74999999999977</c:v>
                </c:pt>
                <c:pt idx="164">
                  <c:v>639.28999999999985</c:v>
                </c:pt>
                <c:pt idx="165">
                  <c:v>637.82999999999981</c:v>
                </c:pt>
                <c:pt idx="166">
                  <c:v>636.36999999999978</c:v>
                </c:pt>
                <c:pt idx="167">
                  <c:v>634.90999999999985</c:v>
                </c:pt>
                <c:pt idx="168">
                  <c:v>633.44999999999982</c:v>
                </c:pt>
                <c:pt idx="169">
                  <c:v>631.98999999999978</c:v>
                </c:pt>
                <c:pt idx="170">
                  <c:v>630.52999999999975</c:v>
                </c:pt>
                <c:pt idx="171">
                  <c:v>629.06999999999982</c:v>
                </c:pt>
                <c:pt idx="172">
                  <c:v>627.60999999999979</c:v>
                </c:pt>
                <c:pt idx="173">
                  <c:v>626.14999999999975</c:v>
                </c:pt>
                <c:pt idx="174">
                  <c:v>624.68999999999983</c:v>
                </c:pt>
                <c:pt idx="175">
                  <c:v>623.22999999999979</c:v>
                </c:pt>
                <c:pt idx="176">
                  <c:v>621.76999999999975</c:v>
                </c:pt>
                <c:pt idx="177">
                  <c:v>620.30999999999983</c:v>
                </c:pt>
                <c:pt idx="178">
                  <c:v>618.8499999999998</c:v>
                </c:pt>
                <c:pt idx="179">
                  <c:v>617.38999999999976</c:v>
                </c:pt>
                <c:pt idx="180">
                  <c:v>615.92999999999984</c:v>
                </c:pt>
                <c:pt idx="181">
                  <c:v>614.4699999999998</c:v>
                </c:pt>
                <c:pt idx="182">
                  <c:v>613.00999999999976</c:v>
                </c:pt>
                <c:pt idx="183">
                  <c:v>611.54999999999973</c:v>
                </c:pt>
                <c:pt idx="184">
                  <c:v>610.0899999999998</c:v>
                </c:pt>
                <c:pt idx="185">
                  <c:v>608.62999999999977</c:v>
                </c:pt>
                <c:pt idx="186">
                  <c:v>607.16999999999973</c:v>
                </c:pt>
                <c:pt idx="187">
                  <c:v>605.70999999999981</c:v>
                </c:pt>
                <c:pt idx="188">
                  <c:v>604.24999999999977</c:v>
                </c:pt>
                <c:pt idx="189">
                  <c:v>602.78999999999974</c:v>
                </c:pt>
                <c:pt idx="190">
                  <c:v>601.32999999999981</c:v>
                </c:pt>
                <c:pt idx="191">
                  <c:v>599.86999999999978</c:v>
                </c:pt>
                <c:pt idx="192">
                  <c:v>598.40999999999974</c:v>
                </c:pt>
                <c:pt idx="193">
                  <c:v>596.94999999999982</c:v>
                </c:pt>
                <c:pt idx="194">
                  <c:v>595.48999999999978</c:v>
                </c:pt>
                <c:pt idx="195">
                  <c:v>594.02999999999975</c:v>
                </c:pt>
                <c:pt idx="196">
                  <c:v>592.56999999999971</c:v>
                </c:pt>
                <c:pt idx="197">
                  <c:v>591.10999999999979</c:v>
                </c:pt>
                <c:pt idx="198">
                  <c:v>589.64999999999975</c:v>
                </c:pt>
                <c:pt idx="199">
                  <c:v>588.18999999999971</c:v>
                </c:pt>
                <c:pt idx="200">
                  <c:v>586.72999999999979</c:v>
                </c:pt>
                <c:pt idx="201">
                  <c:v>585.26999999999987</c:v>
                </c:pt>
                <c:pt idx="202">
                  <c:v>583.80999999999983</c:v>
                </c:pt>
                <c:pt idx="203">
                  <c:v>582.34999999999991</c:v>
                </c:pt>
                <c:pt idx="204">
                  <c:v>580.88999999999987</c:v>
                </c:pt>
                <c:pt idx="205">
                  <c:v>579.42999999999995</c:v>
                </c:pt>
                <c:pt idx="206">
                  <c:v>577.97</c:v>
                </c:pt>
                <c:pt idx="207">
                  <c:v>576.51</c:v>
                </c:pt>
                <c:pt idx="208">
                  <c:v>575.05000000000007</c:v>
                </c:pt>
                <c:pt idx="209">
                  <c:v>573.59</c:v>
                </c:pt>
                <c:pt idx="210">
                  <c:v>572.13000000000011</c:v>
                </c:pt>
                <c:pt idx="211">
                  <c:v>570.67000000000019</c:v>
                </c:pt>
                <c:pt idx="212">
                  <c:v>569.21000000000015</c:v>
                </c:pt>
                <c:pt idx="213">
                  <c:v>567.75000000000023</c:v>
                </c:pt>
                <c:pt idx="214">
                  <c:v>566.29000000000019</c:v>
                </c:pt>
                <c:pt idx="215">
                  <c:v>564.83000000000027</c:v>
                </c:pt>
                <c:pt idx="216">
                  <c:v>563.37000000000035</c:v>
                </c:pt>
                <c:pt idx="217">
                  <c:v>561.91000000000031</c:v>
                </c:pt>
                <c:pt idx="218">
                  <c:v>560.45000000000039</c:v>
                </c:pt>
                <c:pt idx="219">
                  <c:v>558.99000000000035</c:v>
                </c:pt>
                <c:pt idx="220">
                  <c:v>557.53000000000043</c:v>
                </c:pt>
                <c:pt idx="221">
                  <c:v>556.07000000000039</c:v>
                </c:pt>
                <c:pt idx="222">
                  <c:v>554.61000000000047</c:v>
                </c:pt>
                <c:pt idx="223">
                  <c:v>553.15000000000055</c:v>
                </c:pt>
                <c:pt idx="224">
                  <c:v>551.69000000000051</c:v>
                </c:pt>
                <c:pt idx="225">
                  <c:v>550.23000000000059</c:v>
                </c:pt>
                <c:pt idx="226">
                  <c:v>548.77000000000055</c:v>
                </c:pt>
                <c:pt idx="227">
                  <c:v>547.31000000000063</c:v>
                </c:pt>
                <c:pt idx="228">
                  <c:v>545.8500000000007</c:v>
                </c:pt>
                <c:pt idx="229">
                  <c:v>544.39000000000067</c:v>
                </c:pt>
                <c:pt idx="230">
                  <c:v>542.93000000000075</c:v>
                </c:pt>
                <c:pt idx="231">
                  <c:v>541.47000000000071</c:v>
                </c:pt>
                <c:pt idx="232">
                  <c:v>540.01000000000079</c:v>
                </c:pt>
                <c:pt idx="233">
                  <c:v>538.55000000000086</c:v>
                </c:pt>
                <c:pt idx="234">
                  <c:v>537.09000000000083</c:v>
                </c:pt>
                <c:pt idx="235">
                  <c:v>535.6300000000009</c:v>
                </c:pt>
                <c:pt idx="236">
                  <c:v>534.17000000000087</c:v>
                </c:pt>
                <c:pt idx="237">
                  <c:v>532.71000000000095</c:v>
                </c:pt>
                <c:pt idx="238">
                  <c:v>531.25000000000102</c:v>
                </c:pt>
                <c:pt idx="239">
                  <c:v>529.79000000000099</c:v>
                </c:pt>
                <c:pt idx="240">
                  <c:v>528.33000000000106</c:v>
                </c:pt>
                <c:pt idx="241">
                  <c:v>526.87000000000103</c:v>
                </c:pt>
                <c:pt idx="242">
                  <c:v>525.41000000000111</c:v>
                </c:pt>
                <c:pt idx="243">
                  <c:v>523.95000000000118</c:v>
                </c:pt>
                <c:pt idx="244">
                  <c:v>522.49000000000115</c:v>
                </c:pt>
                <c:pt idx="245">
                  <c:v>521.03000000000122</c:v>
                </c:pt>
                <c:pt idx="246">
                  <c:v>519.57000000000119</c:v>
                </c:pt>
                <c:pt idx="247">
                  <c:v>518.11000000000126</c:v>
                </c:pt>
                <c:pt idx="248">
                  <c:v>516.65000000000123</c:v>
                </c:pt>
                <c:pt idx="249">
                  <c:v>515.19000000000131</c:v>
                </c:pt>
                <c:pt idx="250">
                  <c:v>513.73000000000138</c:v>
                </c:pt>
                <c:pt idx="251">
                  <c:v>511.97872340425727</c:v>
                </c:pt>
                <c:pt idx="252">
                  <c:v>509.93617021276793</c:v>
                </c:pt>
                <c:pt idx="253">
                  <c:v>507.8936170212786</c:v>
                </c:pt>
                <c:pt idx="254">
                  <c:v>505.85106382978927</c:v>
                </c:pt>
                <c:pt idx="255">
                  <c:v>503.80851063829999</c:v>
                </c:pt>
                <c:pt idx="256">
                  <c:v>501.76595744681066</c:v>
                </c:pt>
                <c:pt idx="257">
                  <c:v>499.72340425532133</c:v>
                </c:pt>
                <c:pt idx="258">
                  <c:v>497.68085106383205</c:v>
                </c:pt>
                <c:pt idx="259">
                  <c:v>495.63829787234272</c:v>
                </c:pt>
                <c:pt idx="260">
                  <c:v>493.59574468085339</c:v>
                </c:pt>
                <c:pt idx="261">
                  <c:v>491.55319148936405</c:v>
                </c:pt>
                <c:pt idx="262">
                  <c:v>489.51063829787478</c:v>
                </c:pt>
                <c:pt idx="263">
                  <c:v>487.46808510638544</c:v>
                </c:pt>
                <c:pt idx="264">
                  <c:v>485.42553191489611</c:v>
                </c:pt>
                <c:pt idx="265">
                  <c:v>483.38297872340678</c:v>
                </c:pt>
                <c:pt idx="266">
                  <c:v>481.3404255319175</c:v>
                </c:pt>
                <c:pt idx="267">
                  <c:v>479.29787234042817</c:v>
                </c:pt>
                <c:pt idx="268">
                  <c:v>477.25531914893884</c:v>
                </c:pt>
                <c:pt idx="269">
                  <c:v>475.21276595744951</c:v>
                </c:pt>
                <c:pt idx="270">
                  <c:v>473.17021276596023</c:v>
                </c:pt>
                <c:pt idx="271">
                  <c:v>471.1276595744709</c:v>
                </c:pt>
                <c:pt idx="272">
                  <c:v>469.08510638298156</c:v>
                </c:pt>
                <c:pt idx="273">
                  <c:v>467.04255319149229</c:v>
                </c:pt>
                <c:pt idx="274">
                  <c:v>465.00000000000296</c:v>
                </c:pt>
                <c:pt idx="275">
                  <c:v>462.95744680851362</c:v>
                </c:pt>
                <c:pt idx="276">
                  <c:v>460.91489361702429</c:v>
                </c:pt>
                <c:pt idx="277">
                  <c:v>458.87234042553501</c:v>
                </c:pt>
                <c:pt idx="278">
                  <c:v>456.82978723404568</c:v>
                </c:pt>
                <c:pt idx="279">
                  <c:v>454.78723404255635</c:v>
                </c:pt>
                <c:pt idx="280">
                  <c:v>452.74468085106707</c:v>
                </c:pt>
                <c:pt idx="281">
                  <c:v>450.70212765957774</c:v>
                </c:pt>
                <c:pt idx="282">
                  <c:v>448.65957446808841</c:v>
                </c:pt>
                <c:pt idx="283">
                  <c:v>446.61702127659908</c:v>
                </c:pt>
                <c:pt idx="284">
                  <c:v>444.57446808510974</c:v>
                </c:pt>
                <c:pt idx="285">
                  <c:v>442.53191489362047</c:v>
                </c:pt>
                <c:pt idx="286">
                  <c:v>440.48936170213113</c:v>
                </c:pt>
                <c:pt idx="287">
                  <c:v>438.44680851064186</c:v>
                </c:pt>
                <c:pt idx="288">
                  <c:v>436.40425531915253</c:v>
                </c:pt>
                <c:pt idx="289">
                  <c:v>434.36170212766319</c:v>
                </c:pt>
                <c:pt idx="290">
                  <c:v>432.31914893617386</c:v>
                </c:pt>
                <c:pt idx="291">
                  <c:v>430.27659574468453</c:v>
                </c:pt>
                <c:pt idx="292">
                  <c:v>428.23404255319525</c:v>
                </c:pt>
                <c:pt idx="293">
                  <c:v>426.19148936170592</c:v>
                </c:pt>
                <c:pt idx="294">
                  <c:v>424.14893617021659</c:v>
                </c:pt>
                <c:pt idx="295">
                  <c:v>422.10638297872731</c:v>
                </c:pt>
                <c:pt idx="296">
                  <c:v>420.06382978723798</c:v>
                </c:pt>
                <c:pt idx="297">
                  <c:v>418.02127659574865</c:v>
                </c:pt>
                <c:pt idx="298">
                  <c:v>412.82608695653812</c:v>
                </c:pt>
                <c:pt idx="299">
                  <c:v>404.47826086958179</c:v>
                </c:pt>
                <c:pt idx="300">
                  <c:v>396.13043478262546</c:v>
                </c:pt>
                <c:pt idx="301">
                  <c:v>387.78260869566913</c:v>
                </c:pt>
                <c:pt idx="302">
                  <c:v>379.43478260871274</c:v>
                </c:pt>
                <c:pt idx="303">
                  <c:v>371.08695652175641</c:v>
                </c:pt>
                <c:pt idx="304">
                  <c:v>362.73913043480007</c:v>
                </c:pt>
                <c:pt idx="305">
                  <c:v>354.39130434784374</c:v>
                </c:pt>
                <c:pt idx="306">
                  <c:v>346.04347826088735</c:v>
                </c:pt>
                <c:pt idx="307">
                  <c:v>337.69565217393102</c:v>
                </c:pt>
                <c:pt idx="308">
                  <c:v>329.34782608697469</c:v>
                </c:pt>
                <c:pt idx="309">
                  <c:v>321.00000000001836</c:v>
                </c:pt>
                <c:pt idx="310">
                  <c:v>312.65217391306203</c:v>
                </c:pt>
                <c:pt idx="311">
                  <c:v>304.30434782610564</c:v>
                </c:pt>
                <c:pt idx="312">
                  <c:v>295.95652173914931</c:v>
                </c:pt>
                <c:pt idx="313">
                  <c:v>287.60869565219298</c:v>
                </c:pt>
                <c:pt idx="314">
                  <c:v>279.26086956523659</c:v>
                </c:pt>
                <c:pt idx="315">
                  <c:v>270.91304347828031</c:v>
                </c:pt>
                <c:pt idx="316">
                  <c:v>262.56521739132393</c:v>
                </c:pt>
                <c:pt idx="317">
                  <c:v>254.2173913043676</c:v>
                </c:pt>
                <c:pt idx="318">
                  <c:v>245.86956521741126</c:v>
                </c:pt>
                <c:pt idx="319">
                  <c:v>237.5217391304549</c:v>
                </c:pt>
                <c:pt idx="320">
                  <c:v>229.17391304349857</c:v>
                </c:pt>
                <c:pt idx="321">
                  <c:v>222.07407407408843</c:v>
                </c:pt>
                <c:pt idx="322">
                  <c:v>216.2222222222367</c:v>
                </c:pt>
                <c:pt idx="323">
                  <c:v>210.37037037038499</c:v>
                </c:pt>
                <c:pt idx="324">
                  <c:v>204.51851851853326</c:v>
                </c:pt>
                <c:pt idx="325">
                  <c:v>198.66666666668152</c:v>
                </c:pt>
                <c:pt idx="326">
                  <c:v>192.81481481482979</c:v>
                </c:pt>
                <c:pt idx="327">
                  <c:v>186.96296296297808</c:v>
                </c:pt>
                <c:pt idx="328">
                  <c:v>181.11111111112635</c:v>
                </c:pt>
                <c:pt idx="329">
                  <c:v>175.25925925927461</c:v>
                </c:pt>
                <c:pt idx="330">
                  <c:v>169.40740740742291</c:v>
                </c:pt>
                <c:pt idx="331">
                  <c:v>163.55555555557117</c:v>
                </c:pt>
                <c:pt idx="332">
                  <c:v>157.70370370371944</c:v>
                </c:pt>
                <c:pt idx="333">
                  <c:v>151.85185185186771</c:v>
                </c:pt>
                <c:pt idx="334">
                  <c:v>146.00000000001597</c:v>
                </c:pt>
                <c:pt idx="335">
                  <c:v>140.14814814816427</c:v>
                </c:pt>
                <c:pt idx="336">
                  <c:v>134.29629629631253</c:v>
                </c:pt>
                <c:pt idx="337">
                  <c:v>128.44444444446083</c:v>
                </c:pt>
                <c:pt idx="338">
                  <c:v>122.59259259260908</c:v>
                </c:pt>
                <c:pt idx="339">
                  <c:v>116.74074074075736</c:v>
                </c:pt>
                <c:pt idx="340">
                  <c:v>110.88888888890563</c:v>
                </c:pt>
                <c:pt idx="341">
                  <c:v>105.03703703705391</c:v>
                </c:pt>
                <c:pt idx="342">
                  <c:v>99.185185185202172</c:v>
                </c:pt>
                <c:pt idx="343">
                  <c:v>93.333333333350453</c:v>
                </c:pt>
                <c:pt idx="344">
                  <c:v>87.481481481498719</c:v>
                </c:pt>
                <c:pt idx="345">
                  <c:v>81.629629629646985</c:v>
                </c:pt>
                <c:pt idx="346">
                  <c:v>75.777777777795279</c:v>
                </c:pt>
                <c:pt idx="347">
                  <c:v>69.925925925943545</c:v>
                </c:pt>
                <c:pt idx="348">
                  <c:v>64.20833333335024</c:v>
                </c:pt>
                <c:pt idx="349">
                  <c:v>58.625000000017017</c:v>
                </c:pt>
                <c:pt idx="350">
                  <c:v>53.041666666683788</c:v>
                </c:pt>
                <c:pt idx="351">
                  <c:v>47.458333333350552</c:v>
                </c:pt>
                <c:pt idx="352">
                  <c:v>41.875000000017323</c:v>
                </c:pt>
                <c:pt idx="353">
                  <c:v>36.291666666684094</c:v>
                </c:pt>
                <c:pt idx="354">
                  <c:v>30.708333333350872</c:v>
                </c:pt>
                <c:pt idx="355">
                  <c:v>25.125000000017643</c:v>
                </c:pt>
                <c:pt idx="356">
                  <c:v>19.541666666684407</c:v>
                </c:pt>
                <c:pt idx="357">
                  <c:v>13.958333333351177</c:v>
                </c:pt>
                <c:pt idx="358">
                  <c:v>8.3750000000179483</c:v>
                </c:pt>
                <c:pt idx="359">
                  <c:v>2.7916666666847192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C4-48D6-934B-5D8E0316888E}"/>
            </c:ext>
          </c:extLst>
        </c:ser>
        <c:ser>
          <c:idx val="2"/>
          <c:order val="1"/>
          <c:tx>
            <c:strRef>
              <c:f>Courbes!$B$135</c:f>
              <c:strCache>
                <c:ptCount val="1"/>
                <c:pt idx="0">
                  <c:v>Poids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Calculs!$T$4:$T$1004</c:f>
              <c:numCache>
                <c:formatCode>0.00</c:formatCode>
                <c:ptCount val="1001"/>
                <c:pt idx="0">
                  <c:v>77.351849999999999</c:v>
                </c:pt>
                <c:pt idx="1">
                  <c:v>77.347453598531843</c:v>
                </c:pt>
                <c:pt idx="2">
                  <c:v>77.334264394127388</c:v>
                </c:pt>
                <c:pt idx="3">
                  <c:v>77.312282386786634</c:v>
                </c:pt>
                <c:pt idx="4">
                  <c:v>77.281507576509568</c:v>
                </c:pt>
                <c:pt idx="5">
                  <c:v>77.241939963296204</c:v>
                </c:pt>
                <c:pt idx="6">
                  <c:v>77.198027915535107</c:v>
                </c:pt>
                <c:pt idx="7">
                  <c:v>77.154219801614872</c:v>
                </c:pt>
                <c:pt idx="8">
                  <c:v>77.110515621535484</c:v>
                </c:pt>
                <c:pt idx="9">
                  <c:v>77.066915375296958</c:v>
                </c:pt>
                <c:pt idx="10">
                  <c:v>77.023419062899279</c:v>
                </c:pt>
                <c:pt idx="11">
                  <c:v>76.980026684342462</c:v>
                </c:pt>
                <c:pt idx="12">
                  <c:v>76.936738239626493</c:v>
                </c:pt>
                <c:pt idx="13">
                  <c:v>76.893553728751385</c:v>
                </c:pt>
                <c:pt idx="14">
                  <c:v>76.850473151717125</c:v>
                </c:pt>
                <c:pt idx="15">
                  <c:v>76.807496508523727</c:v>
                </c:pt>
                <c:pt idx="16">
                  <c:v>76.76462379917119</c:v>
                </c:pt>
                <c:pt idx="17">
                  <c:v>76.721855023659487</c:v>
                </c:pt>
                <c:pt idx="18">
                  <c:v>76.679190181988659</c:v>
                </c:pt>
                <c:pt idx="19">
                  <c:v>76.636629274158679</c:v>
                </c:pt>
                <c:pt idx="20">
                  <c:v>76.594172300169546</c:v>
                </c:pt>
                <c:pt idx="21">
                  <c:v>76.551819260021276</c:v>
                </c:pt>
                <c:pt idx="22">
                  <c:v>76.509570153713867</c:v>
                </c:pt>
                <c:pt idx="23">
                  <c:v>76.467424981247291</c:v>
                </c:pt>
                <c:pt idx="24">
                  <c:v>76.425383742621591</c:v>
                </c:pt>
                <c:pt idx="25">
                  <c:v>76.383446437836739</c:v>
                </c:pt>
                <c:pt idx="26">
                  <c:v>76.341613066892734</c:v>
                </c:pt>
                <c:pt idx="27">
                  <c:v>76.299883629789591</c:v>
                </c:pt>
                <c:pt idx="28">
                  <c:v>76.258258126527295</c:v>
                </c:pt>
                <c:pt idx="29">
                  <c:v>76.216736557105861</c:v>
                </c:pt>
                <c:pt idx="30">
                  <c:v>76.175318921525289</c:v>
                </c:pt>
                <c:pt idx="31">
                  <c:v>76.13400521978555</c:v>
                </c:pt>
                <c:pt idx="32">
                  <c:v>76.092795451886687</c:v>
                </c:pt>
                <c:pt idx="33">
                  <c:v>76.051689617828671</c:v>
                </c:pt>
                <c:pt idx="34">
                  <c:v>76.010687717611503</c:v>
                </c:pt>
                <c:pt idx="35">
                  <c:v>75.969789751235197</c:v>
                </c:pt>
                <c:pt idx="36">
                  <c:v>75.928995718699738</c:v>
                </c:pt>
                <c:pt idx="37">
                  <c:v>75.888305620005156</c:v>
                </c:pt>
                <c:pt idx="38">
                  <c:v>75.847719455151406</c:v>
                </c:pt>
                <c:pt idx="39">
                  <c:v>75.807237224138518</c:v>
                </c:pt>
                <c:pt idx="40">
                  <c:v>75.766858926966478</c:v>
                </c:pt>
                <c:pt idx="41">
                  <c:v>75.726584563635299</c:v>
                </c:pt>
                <c:pt idx="42">
                  <c:v>75.686414134144968</c:v>
                </c:pt>
                <c:pt idx="43">
                  <c:v>75.646347638495499</c:v>
                </c:pt>
                <c:pt idx="44">
                  <c:v>75.606385076686891</c:v>
                </c:pt>
                <c:pt idx="45">
                  <c:v>75.566526448719131</c:v>
                </c:pt>
                <c:pt idx="46">
                  <c:v>75.526771754592218</c:v>
                </c:pt>
                <c:pt idx="47">
                  <c:v>75.487120994306167</c:v>
                </c:pt>
                <c:pt idx="48">
                  <c:v>75.447574167860978</c:v>
                </c:pt>
                <c:pt idx="49">
                  <c:v>75.408131275256636</c:v>
                </c:pt>
                <c:pt idx="50">
                  <c:v>75.368792316493142</c:v>
                </c:pt>
                <c:pt idx="51">
                  <c:v>75.329534371423506</c:v>
                </c:pt>
                <c:pt idx="52">
                  <c:v>75.290334519900696</c:v>
                </c:pt>
                <c:pt idx="53">
                  <c:v>75.251192761924727</c:v>
                </c:pt>
                <c:pt idx="54">
                  <c:v>75.212109097495585</c:v>
                </c:pt>
                <c:pt idx="55">
                  <c:v>75.173083526613283</c:v>
                </c:pt>
                <c:pt idx="56">
                  <c:v>75.134116049277822</c:v>
                </c:pt>
                <c:pt idx="57">
                  <c:v>75.095206665489187</c:v>
                </c:pt>
                <c:pt idx="58">
                  <c:v>75.056355375247406</c:v>
                </c:pt>
                <c:pt idx="59">
                  <c:v>75.017562178552438</c:v>
                </c:pt>
                <c:pt idx="60">
                  <c:v>74.978827075404325</c:v>
                </c:pt>
                <c:pt idx="61">
                  <c:v>74.940150065803039</c:v>
                </c:pt>
                <c:pt idx="62">
                  <c:v>74.901531149748592</c:v>
                </c:pt>
                <c:pt idx="63">
                  <c:v>74.862970327240973</c:v>
                </c:pt>
                <c:pt idx="64">
                  <c:v>74.824467598280194</c:v>
                </c:pt>
                <c:pt idx="65">
                  <c:v>74.786022962866241</c:v>
                </c:pt>
                <c:pt idx="66">
                  <c:v>74.747636420999143</c:v>
                </c:pt>
                <c:pt idx="67">
                  <c:v>74.709307972678872</c:v>
                </c:pt>
                <c:pt idx="68">
                  <c:v>74.671037617905426</c:v>
                </c:pt>
                <c:pt idx="69">
                  <c:v>74.632825356678836</c:v>
                </c:pt>
                <c:pt idx="70">
                  <c:v>74.594671188999058</c:v>
                </c:pt>
                <c:pt idx="71">
                  <c:v>74.556575114866135</c:v>
                </c:pt>
                <c:pt idx="72">
                  <c:v>74.518537134280038</c:v>
                </c:pt>
                <c:pt idx="73">
                  <c:v>74.480557247240768</c:v>
                </c:pt>
                <c:pt idx="74">
                  <c:v>74.442635453748352</c:v>
                </c:pt>
                <c:pt idx="75">
                  <c:v>74.404771753802763</c:v>
                </c:pt>
                <c:pt idx="76">
                  <c:v>74.366966147404014</c:v>
                </c:pt>
                <c:pt idx="77">
                  <c:v>74.329218634552092</c:v>
                </c:pt>
                <c:pt idx="78">
                  <c:v>74.29152921524701</c:v>
                </c:pt>
                <c:pt idx="79">
                  <c:v>74.253897889488769</c:v>
                </c:pt>
                <c:pt idx="80">
                  <c:v>74.216324657277355</c:v>
                </c:pt>
                <c:pt idx="81">
                  <c:v>74.17880951861278</c:v>
                </c:pt>
                <c:pt idx="82">
                  <c:v>74.141352473495047</c:v>
                </c:pt>
                <c:pt idx="83">
                  <c:v>74.10395352192414</c:v>
                </c:pt>
                <c:pt idx="84">
                  <c:v>74.066612663900074</c:v>
                </c:pt>
                <c:pt idx="85">
                  <c:v>74.029329899422848</c:v>
                </c:pt>
                <c:pt idx="86">
                  <c:v>73.992105228492449</c:v>
                </c:pt>
                <c:pt idx="87">
                  <c:v>73.95493865110889</c:v>
                </c:pt>
                <c:pt idx="88">
                  <c:v>73.917830167272157</c:v>
                </c:pt>
                <c:pt idx="89">
                  <c:v>73.880779776982266</c:v>
                </c:pt>
                <c:pt idx="90">
                  <c:v>73.843787480239214</c:v>
                </c:pt>
                <c:pt idx="91">
                  <c:v>73.80685327704299</c:v>
                </c:pt>
                <c:pt idx="92">
                  <c:v>73.76997716739362</c:v>
                </c:pt>
                <c:pt idx="93">
                  <c:v>73.733159151291062</c:v>
                </c:pt>
                <c:pt idx="94">
                  <c:v>73.696399228735359</c:v>
                </c:pt>
                <c:pt idx="95">
                  <c:v>73.659697399726483</c:v>
                </c:pt>
                <c:pt idx="96">
                  <c:v>73.623053664264432</c:v>
                </c:pt>
                <c:pt idx="97">
                  <c:v>73.586468022349237</c:v>
                </c:pt>
                <c:pt idx="98">
                  <c:v>73.549940473980868</c:v>
                </c:pt>
                <c:pt idx="99">
                  <c:v>73.513471019159326</c:v>
                </c:pt>
                <c:pt idx="100">
                  <c:v>73.477059657884638</c:v>
                </c:pt>
                <c:pt idx="101">
                  <c:v>73.440716728838837</c:v>
                </c:pt>
                <c:pt idx="102">
                  <c:v>73.404452570703995</c:v>
                </c:pt>
                <c:pt idx="103">
                  <c:v>73.368267183480128</c:v>
                </c:pt>
                <c:pt idx="104">
                  <c:v>73.332160567167222</c:v>
                </c:pt>
                <c:pt idx="105">
                  <c:v>73.296132721765289</c:v>
                </c:pt>
                <c:pt idx="106">
                  <c:v>73.260183647274303</c:v>
                </c:pt>
                <c:pt idx="107">
                  <c:v>73.224313343694291</c:v>
                </c:pt>
                <c:pt idx="108">
                  <c:v>73.18852181102524</c:v>
                </c:pt>
                <c:pt idx="109">
                  <c:v>73.152809049267148</c:v>
                </c:pt>
                <c:pt idx="110">
                  <c:v>73.117175058420017</c:v>
                </c:pt>
                <c:pt idx="111">
                  <c:v>73.081619838483846</c:v>
                </c:pt>
                <c:pt idx="112">
                  <c:v>73.046143389458649</c:v>
                </c:pt>
                <c:pt idx="113">
                  <c:v>73.010745711344399</c:v>
                </c:pt>
                <c:pt idx="114">
                  <c:v>72.975426804141136</c:v>
                </c:pt>
                <c:pt idx="115">
                  <c:v>72.940186667848835</c:v>
                </c:pt>
                <c:pt idx="116">
                  <c:v>72.905025302467493</c:v>
                </c:pt>
                <c:pt idx="117">
                  <c:v>72.869942707997112</c:v>
                </c:pt>
                <c:pt idx="118">
                  <c:v>72.83493888443769</c:v>
                </c:pt>
                <c:pt idx="119">
                  <c:v>72.800013831789229</c:v>
                </c:pt>
                <c:pt idx="120">
                  <c:v>72.765167550051743</c:v>
                </c:pt>
                <c:pt idx="121">
                  <c:v>72.730400039225216</c:v>
                </c:pt>
                <c:pt idx="122">
                  <c:v>72.69571129930965</c:v>
                </c:pt>
                <c:pt idx="123">
                  <c:v>72.661101330305044</c:v>
                </c:pt>
                <c:pt idx="124">
                  <c:v>72.626570132211398</c:v>
                </c:pt>
                <c:pt idx="125">
                  <c:v>72.592117705028727</c:v>
                </c:pt>
                <c:pt idx="126">
                  <c:v>72.55774404875703</c:v>
                </c:pt>
                <c:pt idx="127">
                  <c:v>72.523449163396279</c:v>
                </c:pt>
                <c:pt idx="128">
                  <c:v>72.489233048946502</c:v>
                </c:pt>
                <c:pt idx="129">
                  <c:v>72.455095705407686</c:v>
                </c:pt>
                <c:pt idx="130">
                  <c:v>72.42103713277983</c:v>
                </c:pt>
                <c:pt idx="131">
                  <c:v>72.387057331062934</c:v>
                </c:pt>
                <c:pt idx="132">
                  <c:v>72.353156300256998</c:v>
                </c:pt>
                <c:pt idx="133">
                  <c:v>72.319334040362037</c:v>
                </c:pt>
                <c:pt idx="134">
                  <c:v>72.285590551378036</c:v>
                </c:pt>
                <c:pt idx="135">
                  <c:v>72.251925833304995</c:v>
                </c:pt>
                <c:pt idx="136">
                  <c:v>72.218339886142914</c:v>
                </c:pt>
                <c:pt idx="137">
                  <c:v>72.184832709891808</c:v>
                </c:pt>
                <c:pt idx="138">
                  <c:v>72.151404304551662</c:v>
                </c:pt>
                <c:pt idx="139">
                  <c:v>72.118054670122476</c:v>
                </c:pt>
                <c:pt idx="140">
                  <c:v>72.084783806604264</c:v>
                </c:pt>
                <c:pt idx="141">
                  <c:v>72.051591713996999</c:v>
                </c:pt>
                <c:pt idx="142">
                  <c:v>72.018478392300707</c:v>
                </c:pt>
                <c:pt idx="143">
                  <c:v>71.985443841515377</c:v>
                </c:pt>
                <c:pt idx="144">
                  <c:v>71.952488061641006</c:v>
                </c:pt>
                <c:pt idx="145">
                  <c:v>71.91961105267761</c:v>
                </c:pt>
                <c:pt idx="146">
                  <c:v>71.886812814625159</c:v>
                </c:pt>
                <c:pt idx="147">
                  <c:v>71.854093347483683</c:v>
                </c:pt>
                <c:pt idx="148">
                  <c:v>71.821452651253168</c:v>
                </c:pt>
                <c:pt idx="149">
                  <c:v>71.788890725933626</c:v>
                </c:pt>
                <c:pt idx="150">
                  <c:v>71.756407571525045</c:v>
                </c:pt>
                <c:pt idx="151">
                  <c:v>71.723999741800071</c:v>
                </c:pt>
                <c:pt idx="152">
                  <c:v>71.691663790531351</c:v>
                </c:pt>
                <c:pt idx="153">
                  <c:v>71.659399717718884</c:v>
                </c:pt>
                <c:pt idx="154">
                  <c:v>71.627207523362657</c:v>
                </c:pt>
                <c:pt idx="155">
                  <c:v>71.595087207462711</c:v>
                </c:pt>
                <c:pt idx="156">
                  <c:v>71.563038770019006</c:v>
                </c:pt>
                <c:pt idx="157">
                  <c:v>71.531062211031553</c:v>
                </c:pt>
                <c:pt idx="158">
                  <c:v>71.499157530500355</c:v>
                </c:pt>
                <c:pt idx="159">
                  <c:v>71.46732472842541</c:v>
                </c:pt>
                <c:pt idx="160">
                  <c:v>71.435563804806719</c:v>
                </c:pt>
                <c:pt idx="161">
                  <c:v>71.403874759644282</c:v>
                </c:pt>
                <c:pt idx="162">
                  <c:v>71.372257592938098</c:v>
                </c:pt>
                <c:pt idx="163">
                  <c:v>71.340712304688182</c:v>
                </c:pt>
                <c:pt idx="164">
                  <c:v>71.309238894894506</c:v>
                </c:pt>
                <c:pt idx="165">
                  <c:v>71.277837363557083</c:v>
                </c:pt>
                <c:pt idx="166">
                  <c:v>71.246507710675928</c:v>
                </c:pt>
                <c:pt idx="167">
                  <c:v>71.215249936251013</c:v>
                </c:pt>
                <c:pt idx="168">
                  <c:v>71.184064040282351</c:v>
                </c:pt>
                <c:pt idx="169">
                  <c:v>71.152950022769957</c:v>
                </c:pt>
                <c:pt idx="170">
                  <c:v>71.121907883713803</c:v>
                </c:pt>
                <c:pt idx="171">
                  <c:v>71.090937623113916</c:v>
                </c:pt>
                <c:pt idx="172">
                  <c:v>71.060039240970283</c:v>
                </c:pt>
                <c:pt idx="173">
                  <c:v>71.02921273728289</c:v>
                </c:pt>
                <c:pt idx="174">
                  <c:v>70.998458112051765</c:v>
                </c:pt>
                <c:pt idx="175">
                  <c:v>70.967775365276893</c:v>
                </c:pt>
                <c:pt idx="176">
                  <c:v>70.937164496958275</c:v>
                </c:pt>
                <c:pt idx="177">
                  <c:v>70.90662550709591</c:v>
                </c:pt>
                <c:pt idx="178">
                  <c:v>70.876158395689785</c:v>
                </c:pt>
                <c:pt idx="179">
                  <c:v>70.845763162739942</c:v>
                </c:pt>
                <c:pt idx="180">
                  <c:v>70.815439808246339</c:v>
                </c:pt>
                <c:pt idx="181">
                  <c:v>70.785188332208989</c:v>
                </c:pt>
                <c:pt idx="182">
                  <c:v>70.755008734627893</c:v>
                </c:pt>
                <c:pt idx="183">
                  <c:v>70.72490101550305</c:v>
                </c:pt>
                <c:pt idx="184">
                  <c:v>70.694865174834462</c:v>
                </c:pt>
                <c:pt idx="185">
                  <c:v>70.664901212622127</c:v>
                </c:pt>
                <c:pt idx="186">
                  <c:v>70.635009128866045</c:v>
                </c:pt>
                <c:pt idx="187">
                  <c:v>70.605188923566232</c:v>
                </c:pt>
                <c:pt idx="188">
                  <c:v>70.575440596722657</c:v>
                </c:pt>
                <c:pt idx="189">
                  <c:v>70.545764148335337</c:v>
                </c:pt>
                <c:pt idx="190">
                  <c:v>70.516159578404285</c:v>
                </c:pt>
                <c:pt idx="191">
                  <c:v>70.486626886929471</c:v>
                </c:pt>
                <c:pt idx="192">
                  <c:v>70.457166073910912</c:v>
                </c:pt>
                <c:pt idx="193">
                  <c:v>70.42777713934862</c:v>
                </c:pt>
                <c:pt idx="194">
                  <c:v>70.398460083242568</c:v>
                </c:pt>
                <c:pt idx="195">
                  <c:v>70.369214905592784</c:v>
                </c:pt>
                <c:pt idx="196">
                  <c:v>70.340041606399254</c:v>
                </c:pt>
                <c:pt idx="197">
                  <c:v>70.310940185661963</c:v>
                </c:pt>
                <c:pt idx="198">
                  <c:v>70.281910643380925</c:v>
                </c:pt>
                <c:pt idx="199">
                  <c:v>70.252952979556156</c:v>
                </c:pt>
                <c:pt idx="200">
                  <c:v>70.22406719418764</c:v>
                </c:pt>
                <c:pt idx="201">
                  <c:v>70.195253287275378</c:v>
                </c:pt>
                <c:pt idx="202">
                  <c:v>70.166511258819369</c:v>
                </c:pt>
                <c:pt idx="203">
                  <c:v>70.1378411088196</c:v>
                </c:pt>
                <c:pt idx="204">
                  <c:v>70.109242837276099</c:v>
                </c:pt>
                <c:pt idx="205">
                  <c:v>70.080716444188852</c:v>
                </c:pt>
                <c:pt idx="206">
                  <c:v>70.052261929557858</c:v>
                </c:pt>
                <c:pt idx="207">
                  <c:v>70.023879293383118</c:v>
                </c:pt>
                <c:pt idx="208">
                  <c:v>69.995568535664631</c:v>
                </c:pt>
                <c:pt idx="209">
                  <c:v>69.967329656402399</c:v>
                </c:pt>
                <c:pt idx="210">
                  <c:v>69.939162655596434</c:v>
                </c:pt>
                <c:pt idx="211">
                  <c:v>69.911067533246708</c:v>
                </c:pt>
                <c:pt idx="212">
                  <c:v>69.883044289353236</c:v>
                </c:pt>
                <c:pt idx="213">
                  <c:v>69.855092923916018</c:v>
                </c:pt>
                <c:pt idx="214">
                  <c:v>69.827213436935054</c:v>
                </c:pt>
                <c:pt idx="215">
                  <c:v>69.799405828410343</c:v>
                </c:pt>
                <c:pt idx="216">
                  <c:v>69.7716700983419</c:v>
                </c:pt>
                <c:pt idx="217">
                  <c:v>69.744006246729697</c:v>
                </c:pt>
                <c:pt idx="218">
                  <c:v>69.716414273573747</c:v>
                </c:pt>
                <c:pt idx="219">
                  <c:v>69.688894178874065</c:v>
                </c:pt>
                <c:pt idx="220">
                  <c:v>69.661445962630623</c:v>
                </c:pt>
                <c:pt idx="221">
                  <c:v>69.634069624843448</c:v>
                </c:pt>
                <c:pt idx="222">
                  <c:v>69.606765165512513</c:v>
                </c:pt>
                <c:pt idx="223">
                  <c:v>69.579532584637846</c:v>
                </c:pt>
                <c:pt idx="224">
                  <c:v>69.552371882219418</c:v>
                </c:pt>
                <c:pt idx="225">
                  <c:v>69.525283058257259</c:v>
                </c:pt>
                <c:pt idx="226">
                  <c:v>69.498266112751352</c:v>
                </c:pt>
                <c:pt idx="227">
                  <c:v>69.471321045701686</c:v>
                </c:pt>
                <c:pt idx="228">
                  <c:v>69.444447857108287</c:v>
                </c:pt>
                <c:pt idx="229">
                  <c:v>69.417646546971142</c:v>
                </c:pt>
                <c:pt idx="230">
                  <c:v>69.39091711529025</c:v>
                </c:pt>
                <c:pt idx="231">
                  <c:v>69.364259562065612</c:v>
                </c:pt>
                <c:pt idx="232">
                  <c:v>69.337673887297228</c:v>
                </c:pt>
                <c:pt idx="233">
                  <c:v>69.311160090985098</c:v>
                </c:pt>
                <c:pt idx="234">
                  <c:v>69.284718173129221</c:v>
                </c:pt>
                <c:pt idx="235">
                  <c:v>69.258348133729598</c:v>
                </c:pt>
                <c:pt idx="236">
                  <c:v>69.232049972786228</c:v>
                </c:pt>
                <c:pt idx="237">
                  <c:v>69.205823690299113</c:v>
                </c:pt>
                <c:pt idx="238">
                  <c:v>69.179669286268265</c:v>
                </c:pt>
                <c:pt idx="239">
                  <c:v>69.153586760693656</c:v>
                </c:pt>
                <c:pt idx="240">
                  <c:v>69.127576113575302</c:v>
                </c:pt>
                <c:pt idx="241">
                  <c:v>69.101637344913215</c:v>
                </c:pt>
                <c:pt idx="242">
                  <c:v>69.075770454707367</c:v>
                </c:pt>
                <c:pt idx="243">
                  <c:v>69.049975442957773</c:v>
                </c:pt>
                <c:pt idx="244">
                  <c:v>69.024252309664448</c:v>
                </c:pt>
                <c:pt idx="245">
                  <c:v>68.998601054827361</c:v>
                </c:pt>
                <c:pt idx="246">
                  <c:v>68.973021678446543</c:v>
                </c:pt>
                <c:pt idx="247">
                  <c:v>68.947514180521964</c:v>
                </c:pt>
                <c:pt idx="248">
                  <c:v>68.922078561053652</c:v>
                </c:pt>
                <c:pt idx="249">
                  <c:v>68.896714820041595</c:v>
                </c:pt>
                <c:pt idx="250">
                  <c:v>68.871422957485777</c:v>
                </c:pt>
                <c:pt idx="251">
                  <c:v>68.846217313462972</c:v>
                </c:pt>
                <c:pt idx="252">
                  <c:v>68.821112228049898</c:v>
                </c:pt>
                <c:pt idx="253">
                  <c:v>68.796107701246569</c:v>
                </c:pt>
                <c:pt idx="254">
                  <c:v>68.771203733052985</c:v>
                </c:pt>
                <c:pt idx="255">
                  <c:v>68.746400323469132</c:v>
                </c:pt>
                <c:pt idx="256">
                  <c:v>68.721697472495023</c:v>
                </c:pt>
                <c:pt idx="257">
                  <c:v>68.69709518013066</c:v>
                </c:pt>
                <c:pt idx="258">
                  <c:v>68.672593446376041</c:v>
                </c:pt>
                <c:pt idx="259">
                  <c:v>68.648192271231153</c:v>
                </c:pt>
                <c:pt idx="260">
                  <c:v>68.623891654696024</c:v>
                </c:pt>
                <c:pt idx="261">
                  <c:v>68.599691596770612</c:v>
                </c:pt>
                <c:pt idx="262">
                  <c:v>68.575592097454944</c:v>
                </c:pt>
                <c:pt idx="263">
                  <c:v>68.551593156749021</c:v>
                </c:pt>
                <c:pt idx="264">
                  <c:v>68.527694774652829</c:v>
                </c:pt>
                <c:pt idx="265">
                  <c:v>68.503896951166382</c:v>
                </c:pt>
                <c:pt idx="266">
                  <c:v>68.48019968628968</c:v>
                </c:pt>
                <c:pt idx="267">
                  <c:v>68.456602980022723</c:v>
                </c:pt>
                <c:pt idx="268">
                  <c:v>68.433106832365496</c:v>
                </c:pt>
                <c:pt idx="269">
                  <c:v>68.409711243318029</c:v>
                </c:pt>
                <c:pt idx="270">
                  <c:v>68.386416212880292</c:v>
                </c:pt>
                <c:pt idx="271">
                  <c:v>68.363221741052286</c:v>
                </c:pt>
                <c:pt idx="272">
                  <c:v>68.340127827834038</c:v>
                </c:pt>
                <c:pt idx="273">
                  <c:v>68.317134473225522</c:v>
                </c:pt>
                <c:pt idx="274">
                  <c:v>68.294241677226751</c:v>
                </c:pt>
                <c:pt idx="275">
                  <c:v>68.27144943983771</c:v>
                </c:pt>
                <c:pt idx="276">
                  <c:v>68.248757761058428</c:v>
                </c:pt>
                <c:pt idx="277">
                  <c:v>68.226166640888863</c:v>
                </c:pt>
                <c:pt idx="278">
                  <c:v>68.203676079329057</c:v>
                </c:pt>
                <c:pt idx="279">
                  <c:v>68.181286076378981</c:v>
                </c:pt>
                <c:pt idx="280">
                  <c:v>68.158996632038637</c:v>
                </c:pt>
                <c:pt idx="281">
                  <c:v>68.136807746308051</c:v>
                </c:pt>
                <c:pt idx="282">
                  <c:v>68.114719419187196</c:v>
                </c:pt>
                <c:pt idx="283">
                  <c:v>68.092731650676086</c:v>
                </c:pt>
                <c:pt idx="284">
                  <c:v>68.070844440774721</c:v>
                </c:pt>
                <c:pt idx="285">
                  <c:v>68.049057789483086</c:v>
                </c:pt>
                <c:pt idx="286">
                  <c:v>68.027371696801197</c:v>
                </c:pt>
                <c:pt idx="287">
                  <c:v>68.005786162729052</c:v>
                </c:pt>
                <c:pt idx="288">
                  <c:v>67.984301187266652</c:v>
                </c:pt>
                <c:pt idx="289">
                  <c:v>67.962916770413983</c:v>
                </c:pt>
                <c:pt idx="290">
                  <c:v>67.941632912171059</c:v>
                </c:pt>
                <c:pt idx="291">
                  <c:v>67.92044961253788</c:v>
                </c:pt>
                <c:pt idx="292">
                  <c:v>67.899366871514445</c:v>
                </c:pt>
                <c:pt idx="293">
                  <c:v>67.878384689100741</c:v>
                </c:pt>
                <c:pt idx="294">
                  <c:v>67.857503065296783</c:v>
                </c:pt>
                <c:pt idx="295">
                  <c:v>67.836722000102554</c:v>
                </c:pt>
                <c:pt idx="296">
                  <c:v>67.816041493518071</c:v>
                </c:pt>
                <c:pt idx="297">
                  <c:v>67.795461545543318</c:v>
                </c:pt>
                <c:pt idx="298">
                  <c:v>67.775137366206408</c:v>
                </c:pt>
                <c:pt idx="299">
                  <c:v>67.755224165535367</c:v>
                </c:pt>
                <c:pt idx="300">
                  <c:v>67.735721943530251</c:v>
                </c:pt>
                <c:pt idx="301">
                  <c:v>67.716630700191004</c:v>
                </c:pt>
                <c:pt idx="302">
                  <c:v>67.697950435517669</c:v>
                </c:pt>
                <c:pt idx="303">
                  <c:v>67.67968114951023</c:v>
                </c:pt>
                <c:pt idx="304">
                  <c:v>67.661822842168689</c:v>
                </c:pt>
                <c:pt idx="305">
                  <c:v>67.644375513493046</c:v>
                </c:pt>
                <c:pt idx="306">
                  <c:v>67.627339163483299</c:v>
                </c:pt>
                <c:pt idx="307">
                  <c:v>67.610713792139435</c:v>
                </c:pt>
                <c:pt idx="308">
                  <c:v>67.594499399461483</c:v>
                </c:pt>
                <c:pt idx="309">
                  <c:v>67.578695985449428</c:v>
                </c:pt>
                <c:pt idx="310">
                  <c:v>67.563303550103257</c:v>
                </c:pt>
                <c:pt idx="311">
                  <c:v>67.548322093422996</c:v>
                </c:pt>
                <c:pt idx="312">
                  <c:v>67.533751615408633</c:v>
                </c:pt>
                <c:pt idx="313">
                  <c:v>67.519592116060153</c:v>
                </c:pt>
                <c:pt idx="314">
                  <c:v>67.50584359537757</c:v>
                </c:pt>
                <c:pt idx="315">
                  <c:v>67.492506053360898</c:v>
                </c:pt>
                <c:pt idx="316">
                  <c:v>67.47957949001011</c:v>
                </c:pt>
                <c:pt idx="317">
                  <c:v>67.467063905325233</c:v>
                </c:pt>
                <c:pt idx="318">
                  <c:v>67.454959299306239</c:v>
                </c:pt>
                <c:pt idx="319">
                  <c:v>67.443265671953142</c:v>
                </c:pt>
                <c:pt idx="320">
                  <c:v>67.431983023265957</c:v>
                </c:pt>
                <c:pt idx="321">
                  <c:v>67.421049912568336</c:v>
                </c:pt>
                <c:pt idx="322">
                  <c:v>67.410404899183959</c:v>
                </c:pt>
                <c:pt idx="323">
                  <c:v>67.400047983112827</c:v>
                </c:pt>
                <c:pt idx="324">
                  <c:v>67.389979164354941</c:v>
                </c:pt>
                <c:pt idx="325">
                  <c:v>67.380198442910313</c:v>
                </c:pt>
                <c:pt idx="326">
                  <c:v>67.370705818778916</c:v>
                </c:pt>
                <c:pt idx="327">
                  <c:v>67.361501291960764</c:v>
                </c:pt>
                <c:pt idx="328">
                  <c:v>67.352584862455871</c:v>
                </c:pt>
                <c:pt idx="329">
                  <c:v>67.343956530264208</c:v>
                </c:pt>
                <c:pt idx="330">
                  <c:v>67.335616295385805</c:v>
                </c:pt>
                <c:pt idx="331">
                  <c:v>67.327564157820632</c:v>
                </c:pt>
                <c:pt idx="332">
                  <c:v>67.319800117568718</c:v>
                </c:pt>
                <c:pt idx="333">
                  <c:v>67.312324174630049</c:v>
                </c:pt>
                <c:pt idx="334">
                  <c:v>67.305136329004625</c:v>
                </c:pt>
                <c:pt idx="335">
                  <c:v>67.298236580692446</c:v>
                </c:pt>
                <c:pt idx="336">
                  <c:v>67.291624929693526</c:v>
                </c:pt>
                <c:pt idx="337">
                  <c:v>67.285301376007837</c:v>
                </c:pt>
                <c:pt idx="338">
                  <c:v>67.279265919635407</c:v>
                </c:pt>
                <c:pt idx="339">
                  <c:v>67.273518560576221</c:v>
                </c:pt>
                <c:pt idx="340">
                  <c:v>67.268059298830266</c:v>
                </c:pt>
                <c:pt idx="341">
                  <c:v>67.262888134397571</c:v>
                </c:pt>
                <c:pt idx="342">
                  <c:v>67.25800506727812</c:v>
                </c:pt>
                <c:pt idx="343">
                  <c:v>67.253410097471914</c:v>
                </c:pt>
                <c:pt idx="344">
                  <c:v>67.249103224978953</c:v>
                </c:pt>
                <c:pt idx="345">
                  <c:v>67.245084449799222</c:v>
                </c:pt>
                <c:pt idx="346">
                  <c:v>67.241353771932751</c:v>
                </c:pt>
                <c:pt idx="347">
                  <c:v>67.237911191379538</c:v>
                </c:pt>
                <c:pt idx="348">
                  <c:v>67.234750098311963</c:v>
                </c:pt>
                <c:pt idx="349">
                  <c:v>67.231863882902445</c:v>
                </c:pt>
                <c:pt idx="350">
                  <c:v>67.22925254515097</c:v>
                </c:pt>
                <c:pt idx="351">
                  <c:v>67.226916085057539</c:v>
                </c:pt>
                <c:pt idx="352">
                  <c:v>67.224854502622165</c:v>
                </c:pt>
                <c:pt idx="353">
                  <c:v>67.223067797844834</c:v>
                </c:pt>
                <c:pt idx="354">
                  <c:v>67.221555970725561</c:v>
                </c:pt>
                <c:pt idx="355">
                  <c:v>67.220319021264331</c:v>
                </c:pt>
                <c:pt idx="356">
                  <c:v>67.219356949461158</c:v>
                </c:pt>
                <c:pt idx="357">
                  <c:v>67.218669755316029</c:v>
                </c:pt>
                <c:pt idx="358">
                  <c:v>67.218257438828942</c:v>
                </c:pt>
                <c:pt idx="359">
                  <c:v>67.218119999999914</c:v>
                </c:pt>
                <c:pt idx="360">
                  <c:v>67.218119999999914</c:v>
                </c:pt>
                <c:pt idx="361">
                  <c:v>67.218119999999914</c:v>
                </c:pt>
                <c:pt idx="362">
                  <c:v>67.218119999999914</c:v>
                </c:pt>
                <c:pt idx="363">
                  <c:v>67.218119999999914</c:v>
                </c:pt>
                <c:pt idx="364">
                  <c:v>67.218119999999914</c:v>
                </c:pt>
                <c:pt idx="365">
                  <c:v>67.218119999999914</c:v>
                </c:pt>
                <c:pt idx="366">
                  <c:v>67.218119999999914</c:v>
                </c:pt>
                <c:pt idx="367">
                  <c:v>67.218119999999914</c:v>
                </c:pt>
                <c:pt idx="368">
                  <c:v>67.218119999999914</c:v>
                </c:pt>
                <c:pt idx="369">
                  <c:v>67.218119999999914</c:v>
                </c:pt>
                <c:pt idx="370">
                  <c:v>67.218119999999914</c:v>
                </c:pt>
                <c:pt idx="371">
                  <c:v>67.218119999999914</c:v>
                </c:pt>
                <c:pt idx="372">
                  <c:v>67.218119999999914</c:v>
                </c:pt>
                <c:pt idx="373">
                  <c:v>67.218119999999914</c:v>
                </c:pt>
                <c:pt idx="374">
                  <c:v>67.218119999999914</c:v>
                </c:pt>
                <c:pt idx="375">
                  <c:v>67.218119999999914</c:v>
                </c:pt>
                <c:pt idx="376">
                  <c:v>67.218119999999914</c:v>
                </c:pt>
                <c:pt idx="377">
                  <c:v>67.218119999999914</c:v>
                </c:pt>
                <c:pt idx="378">
                  <c:v>67.218119999999914</c:v>
                </c:pt>
                <c:pt idx="379">
                  <c:v>67.218119999999914</c:v>
                </c:pt>
                <c:pt idx="380">
                  <c:v>67.218119999999914</c:v>
                </c:pt>
                <c:pt idx="381">
                  <c:v>67.218119999999914</c:v>
                </c:pt>
                <c:pt idx="382">
                  <c:v>67.218119999999914</c:v>
                </c:pt>
                <c:pt idx="383">
                  <c:v>67.218119999999914</c:v>
                </c:pt>
                <c:pt idx="384">
                  <c:v>67.218119999999914</c:v>
                </c:pt>
                <c:pt idx="385">
                  <c:v>67.218119999999914</c:v>
                </c:pt>
                <c:pt idx="386">
                  <c:v>67.218119999999914</c:v>
                </c:pt>
                <c:pt idx="387">
                  <c:v>67.218119999999914</c:v>
                </c:pt>
                <c:pt idx="388">
                  <c:v>67.218119999999914</c:v>
                </c:pt>
                <c:pt idx="389">
                  <c:v>67.218119999999914</c:v>
                </c:pt>
                <c:pt idx="390">
                  <c:v>67.218119999999914</c:v>
                </c:pt>
                <c:pt idx="391">
                  <c:v>67.218119999999914</c:v>
                </c:pt>
                <c:pt idx="392">
                  <c:v>67.218119999999914</c:v>
                </c:pt>
                <c:pt idx="393">
                  <c:v>67.218119999999914</c:v>
                </c:pt>
                <c:pt idx="394">
                  <c:v>67.218119999999914</c:v>
                </c:pt>
                <c:pt idx="395">
                  <c:v>67.218119999999914</c:v>
                </c:pt>
                <c:pt idx="396">
                  <c:v>67.218119999999914</c:v>
                </c:pt>
                <c:pt idx="397">
                  <c:v>67.218119999999914</c:v>
                </c:pt>
                <c:pt idx="398">
                  <c:v>67.218119999999914</c:v>
                </c:pt>
                <c:pt idx="399">
                  <c:v>67.218119999999914</c:v>
                </c:pt>
                <c:pt idx="400">
                  <c:v>67.218119999999914</c:v>
                </c:pt>
                <c:pt idx="401">
                  <c:v>67.218119999999914</c:v>
                </c:pt>
                <c:pt idx="402">
                  <c:v>67.218119999999914</c:v>
                </c:pt>
                <c:pt idx="403">
                  <c:v>67.218119999999914</c:v>
                </c:pt>
                <c:pt idx="404">
                  <c:v>67.218119999999914</c:v>
                </c:pt>
                <c:pt idx="405">
                  <c:v>67.218119999999914</c:v>
                </c:pt>
                <c:pt idx="406">
                  <c:v>67.218119999999914</c:v>
                </c:pt>
                <c:pt idx="407">
                  <c:v>67.218119999999914</c:v>
                </c:pt>
                <c:pt idx="408">
                  <c:v>67.218119999999914</c:v>
                </c:pt>
                <c:pt idx="409">
                  <c:v>67.218119999999914</c:v>
                </c:pt>
                <c:pt idx="410">
                  <c:v>67.218119999999914</c:v>
                </c:pt>
                <c:pt idx="411">
                  <c:v>67.218119999999914</c:v>
                </c:pt>
                <c:pt idx="412">
                  <c:v>67.218119999999914</c:v>
                </c:pt>
                <c:pt idx="413">
                  <c:v>67.218119999999914</c:v>
                </c:pt>
                <c:pt idx="414">
                  <c:v>67.218119999999914</c:v>
                </c:pt>
                <c:pt idx="415">
                  <c:v>67.218119999999914</c:v>
                </c:pt>
                <c:pt idx="416">
                  <c:v>67.218119999999914</c:v>
                </c:pt>
                <c:pt idx="417">
                  <c:v>67.218119999999914</c:v>
                </c:pt>
                <c:pt idx="418">
                  <c:v>67.218119999999914</c:v>
                </c:pt>
                <c:pt idx="419">
                  <c:v>67.218119999999914</c:v>
                </c:pt>
                <c:pt idx="420">
                  <c:v>67.218119999999914</c:v>
                </c:pt>
                <c:pt idx="421">
                  <c:v>67.218119999999914</c:v>
                </c:pt>
                <c:pt idx="422">
                  <c:v>67.218119999999914</c:v>
                </c:pt>
                <c:pt idx="423">
                  <c:v>67.218119999999914</c:v>
                </c:pt>
                <c:pt idx="424">
                  <c:v>67.218119999999914</c:v>
                </c:pt>
                <c:pt idx="425">
                  <c:v>67.218119999999914</c:v>
                </c:pt>
                <c:pt idx="426">
                  <c:v>67.218119999999914</c:v>
                </c:pt>
                <c:pt idx="427">
                  <c:v>67.218119999999914</c:v>
                </c:pt>
                <c:pt idx="428">
                  <c:v>67.218119999999914</c:v>
                </c:pt>
                <c:pt idx="429">
                  <c:v>67.218119999999914</c:v>
                </c:pt>
                <c:pt idx="430">
                  <c:v>67.218119999999914</c:v>
                </c:pt>
                <c:pt idx="431">
                  <c:v>67.218119999999914</c:v>
                </c:pt>
                <c:pt idx="432">
                  <c:v>67.218119999999914</c:v>
                </c:pt>
                <c:pt idx="433">
                  <c:v>67.218119999999914</c:v>
                </c:pt>
                <c:pt idx="434">
                  <c:v>67.218119999999914</c:v>
                </c:pt>
                <c:pt idx="435">
                  <c:v>67.218119999999914</c:v>
                </c:pt>
                <c:pt idx="436">
                  <c:v>67.218119999999914</c:v>
                </c:pt>
                <c:pt idx="437">
                  <c:v>67.218119999999914</c:v>
                </c:pt>
                <c:pt idx="438">
                  <c:v>67.218119999999914</c:v>
                </c:pt>
                <c:pt idx="439">
                  <c:v>67.218119999999914</c:v>
                </c:pt>
                <c:pt idx="440">
                  <c:v>67.218119999999914</c:v>
                </c:pt>
                <c:pt idx="441">
                  <c:v>67.218119999999914</c:v>
                </c:pt>
                <c:pt idx="442">
                  <c:v>67.218119999999914</c:v>
                </c:pt>
                <c:pt idx="443">
                  <c:v>67.218119999999914</c:v>
                </c:pt>
                <c:pt idx="444">
                  <c:v>67.218119999999914</c:v>
                </c:pt>
                <c:pt idx="445">
                  <c:v>67.218119999999914</c:v>
                </c:pt>
                <c:pt idx="446">
                  <c:v>67.218119999999914</c:v>
                </c:pt>
                <c:pt idx="447">
                  <c:v>67.218119999999914</c:v>
                </c:pt>
                <c:pt idx="448">
                  <c:v>67.218119999999914</c:v>
                </c:pt>
                <c:pt idx="449">
                  <c:v>67.218119999999914</c:v>
                </c:pt>
                <c:pt idx="450">
                  <c:v>67.218119999999914</c:v>
                </c:pt>
                <c:pt idx="451">
                  <c:v>67.218119999999914</c:v>
                </c:pt>
                <c:pt idx="452">
                  <c:v>67.218119999999914</c:v>
                </c:pt>
                <c:pt idx="453">
                  <c:v>67.218119999999914</c:v>
                </c:pt>
                <c:pt idx="454">
                  <c:v>67.218119999999914</c:v>
                </c:pt>
                <c:pt idx="455">
                  <c:v>67.218119999999914</c:v>
                </c:pt>
                <c:pt idx="456">
                  <c:v>67.218119999999914</c:v>
                </c:pt>
                <c:pt idx="457">
                  <c:v>67.218119999999914</c:v>
                </c:pt>
                <c:pt idx="458">
                  <c:v>67.218119999999914</c:v>
                </c:pt>
                <c:pt idx="459">
                  <c:v>67.218119999999914</c:v>
                </c:pt>
                <c:pt idx="460">
                  <c:v>67.218119999999914</c:v>
                </c:pt>
                <c:pt idx="461">
                  <c:v>67.218119999999914</c:v>
                </c:pt>
                <c:pt idx="462">
                  <c:v>67.218119999999914</c:v>
                </c:pt>
                <c:pt idx="463">
                  <c:v>67.218119999999914</c:v>
                </c:pt>
                <c:pt idx="464">
                  <c:v>67.218119999999914</c:v>
                </c:pt>
                <c:pt idx="465">
                  <c:v>67.218119999999914</c:v>
                </c:pt>
                <c:pt idx="466">
                  <c:v>67.218119999999914</c:v>
                </c:pt>
                <c:pt idx="467">
                  <c:v>67.218119999999914</c:v>
                </c:pt>
                <c:pt idx="468">
                  <c:v>67.218119999999914</c:v>
                </c:pt>
                <c:pt idx="469">
                  <c:v>67.218119999999914</c:v>
                </c:pt>
                <c:pt idx="470">
                  <c:v>67.218119999999914</c:v>
                </c:pt>
                <c:pt idx="471">
                  <c:v>67.218119999999914</c:v>
                </c:pt>
                <c:pt idx="472">
                  <c:v>67.218119999999914</c:v>
                </c:pt>
                <c:pt idx="473">
                  <c:v>67.218119999999914</c:v>
                </c:pt>
                <c:pt idx="474">
                  <c:v>67.218119999999914</c:v>
                </c:pt>
                <c:pt idx="475">
                  <c:v>67.218119999999914</c:v>
                </c:pt>
                <c:pt idx="476">
                  <c:v>67.218119999999914</c:v>
                </c:pt>
                <c:pt idx="477">
                  <c:v>67.218119999999914</c:v>
                </c:pt>
                <c:pt idx="478">
                  <c:v>67.218119999999914</c:v>
                </c:pt>
                <c:pt idx="479">
                  <c:v>67.218119999999914</c:v>
                </c:pt>
                <c:pt idx="480">
                  <c:v>67.218119999999914</c:v>
                </c:pt>
                <c:pt idx="481">
                  <c:v>67.218119999999914</c:v>
                </c:pt>
                <c:pt idx="482">
                  <c:v>67.218119999999914</c:v>
                </c:pt>
                <c:pt idx="483">
                  <c:v>67.218119999999914</c:v>
                </c:pt>
                <c:pt idx="484">
                  <c:v>67.218119999999914</c:v>
                </c:pt>
                <c:pt idx="485">
                  <c:v>67.218119999999914</c:v>
                </c:pt>
                <c:pt idx="486">
                  <c:v>67.218119999999914</c:v>
                </c:pt>
                <c:pt idx="487">
                  <c:v>67.218119999999914</c:v>
                </c:pt>
                <c:pt idx="488">
                  <c:v>67.218119999999914</c:v>
                </c:pt>
                <c:pt idx="489">
                  <c:v>67.218119999999914</c:v>
                </c:pt>
                <c:pt idx="490">
                  <c:v>67.218119999999914</c:v>
                </c:pt>
                <c:pt idx="491">
                  <c:v>67.218119999999914</c:v>
                </c:pt>
                <c:pt idx="492">
                  <c:v>67.218119999999914</c:v>
                </c:pt>
                <c:pt idx="493">
                  <c:v>67.218119999999914</c:v>
                </c:pt>
                <c:pt idx="494">
                  <c:v>67.218119999999914</c:v>
                </c:pt>
                <c:pt idx="495">
                  <c:v>67.218119999999914</c:v>
                </c:pt>
                <c:pt idx="496">
                  <c:v>67.218119999999914</c:v>
                </c:pt>
                <c:pt idx="497">
                  <c:v>67.218119999999914</c:v>
                </c:pt>
                <c:pt idx="498">
                  <c:v>67.218119999999914</c:v>
                </c:pt>
                <c:pt idx="499">
                  <c:v>67.218119999999914</c:v>
                </c:pt>
                <c:pt idx="500">
                  <c:v>67.218119999999914</c:v>
                </c:pt>
                <c:pt idx="501">
                  <c:v>67.218119999999914</c:v>
                </c:pt>
                <c:pt idx="502">
                  <c:v>67.218119999999914</c:v>
                </c:pt>
                <c:pt idx="503">
                  <c:v>67.218119999999914</c:v>
                </c:pt>
                <c:pt idx="504">
                  <c:v>67.218119999999914</c:v>
                </c:pt>
                <c:pt idx="505">
                  <c:v>67.218119999999914</c:v>
                </c:pt>
                <c:pt idx="506">
                  <c:v>67.218119999999914</c:v>
                </c:pt>
                <c:pt idx="507">
                  <c:v>67.218119999999914</c:v>
                </c:pt>
                <c:pt idx="508">
                  <c:v>67.218119999999914</c:v>
                </c:pt>
                <c:pt idx="509">
                  <c:v>67.218119999999914</c:v>
                </c:pt>
                <c:pt idx="510">
                  <c:v>67.218119999999914</c:v>
                </c:pt>
                <c:pt idx="511">
                  <c:v>67.218119999999914</c:v>
                </c:pt>
                <c:pt idx="512">
                  <c:v>67.218119999999914</c:v>
                </c:pt>
                <c:pt idx="513">
                  <c:v>67.218119999999914</c:v>
                </c:pt>
                <c:pt idx="514">
                  <c:v>67.218119999999914</c:v>
                </c:pt>
                <c:pt idx="515">
                  <c:v>67.218119999999914</c:v>
                </c:pt>
                <c:pt idx="516">
                  <c:v>67.218119999999914</c:v>
                </c:pt>
                <c:pt idx="517">
                  <c:v>67.218119999999914</c:v>
                </c:pt>
                <c:pt idx="518">
                  <c:v>67.218119999999914</c:v>
                </c:pt>
                <c:pt idx="519">
                  <c:v>67.218119999999914</c:v>
                </c:pt>
                <c:pt idx="520">
                  <c:v>67.218119999999914</c:v>
                </c:pt>
                <c:pt idx="521">
                  <c:v>67.218119999999914</c:v>
                </c:pt>
                <c:pt idx="522">
                  <c:v>67.218119999999914</c:v>
                </c:pt>
                <c:pt idx="523">
                  <c:v>67.218119999999914</c:v>
                </c:pt>
                <c:pt idx="524">
                  <c:v>67.218119999999914</c:v>
                </c:pt>
                <c:pt idx="525">
                  <c:v>67.218119999999914</c:v>
                </c:pt>
                <c:pt idx="526">
                  <c:v>67.218119999999914</c:v>
                </c:pt>
                <c:pt idx="527">
                  <c:v>67.218119999999914</c:v>
                </c:pt>
                <c:pt idx="528">
                  <c:v>67.218119999999914</c:v>
                </c:pt>
                <c:pt idx="529">
                  <c:v>67.218119999999914</c:v>
                </c:pt>
                <c:pt idx="530">
                  <c:v>67.218119999999914</c:v>
                </c:pt>
                <c:pt idx="531">
                  <c:v>67.218119999999914</c:v>
                </c:pt>
                <c:pt idx="532">
                  <c:v>67.218119999999914</c:v>
                </c:pt>
                <c:pt idx="533">
                  <c:v>67.218119999999914</c:v>
                </c:pt>
                <c:pt idx="534">
                  <c:v>67.218119999999914</c:v>
                </c:pt>
                <c:pt idx="535">
                  <c:v>67.218119999999914</c:v>
                </c:pt>
                <c:pt idx="536">
                  <c:v>67.218119999999914</c:v>
                </c:pt>
                <c:pt idx="537">
                  <c:v>67.218119999999914</c:v>
                </c:pt>
                <c:pt idx="538">
                  <c:v>67.218119999999914</c:v>
                </c:pt>
                <c:pt idx="539">
                  <c:v>67.218119999999914</c:v>
                </c:pt>
                <c:pt idx="540">
                  <c:v>67.218119999999914</c:v>
                </c:pt>
                <c:pt idx="541">
                  <c:v>67.218119999999914</c:v>
                </c:pt>
                <c:pt idx="542">
                  <c:v>67.218119999999914</c:v>
                </c:pt>
                <c:pt idx="543">
                  <c:v>67.218119999999914</c:v>
                </c:pt>
                <c:pt idx="544">
                  <c:v>67.218119999999914</c:v>
                </c:pt>
                <c:pt idx="545">
                  <c:v>67.218119999999914</c:v>
                </c:pt>
                <c:pt idx="546">
                  <c:v>67.218119999999914</c:v>
                </c:pt>
                <c:pt idx="547">
                  <c:v>67.218119999999914</c:v>
                </c:pt>
                <c:pt idx="548">
                  <c:v>67.218119999999914</c:v>
                </c:pt>
                <c:pt idx="549">
                  <c:v>67.218119999999914</c:v>
                </c:pt>
                <c:pt idx="550">
                  <c:v>67.218119999999914</c:v>
                </c:pt>
                <c:pt idx="551">
                  <c:v>67.218119999999914</c:v>
                </c:pt>
                <c:pt idx="552">
                  <c:v>67.218119999999914</c:v>
                </c:pt>
                <c:pt idx="553">
                  <c:v>67.218119999999914</c:v>
                </c:pt>
                <c:pt idx="554">
                  <c:v>67.218119999999914</c:v>
                </c:pt>
                <c:pt idx="555">
                  <c:v>67.218119999999914</c:v>
                </c:pt>
                <c:pt idx="556">
                  <c:v>67.218119999999914</c:v>
                </c:pt>
                <c:pt idx="557">
                  <c:v>67.218119999999914</c:v>
                </c:pt>
                <c:pt idx="558">
                  <c:v>67.218119999999914</c:v>
                </c:pt>
                <c:pt idx="559">
                  <c:v>67.218119999999914</c:v>
                </c:pt>
                <c:pt idx="560">
                  <c:v>67.218119999999914</c:v>
                </c:pt>
                <c:pt idx="561">
                  <c:v>67.218119999999914</c:v>
                </c:pt>
                <c:pt idx="562">
                  <c:v>67.218119999999914</c:v>
                </c:pt>
                <c:pt idx="563">
                  <c:v>67.218119999999914</c:v>
                </c:pt>
                <c:pt idx="564">
                  <c:v>67.218119999999914</c:v>
                </c:pt>
                <c:pt idx="565">
                  <c:v>67.218119999999914</c:v>
                </c:pt>
                <c:pt idx="566">
                  <c:v>67.218119999999914</c:v>
                </c:pt>
                <c:pt idx="567">
                  <c:v>67.218119999999914</c:v>
                </c:pt>
                <c:pt idx="568">
                  <c:v>67.218119999999914</c:v>
                </c:pt>
                <c:pt idx="569">
                  <c:v>67.218119999999914</c:v>
                </c:pt>
                <c:pt idx="570">
                  <c:v>67.218119999999914</c:v>
                </c:pt>
                <c:pt idx="571">
                  <c:v>67.218119999999914</c:v>
                </c:pt>
                <c:pt idx="572">
                  <c:v>67.218119999999914</c:v>
                </c:pt>
                <c:pt idx="573">
                  <c:v>67.218119999999914</c:v>
                </c:pt>
                <c:pt idx="574">
                  <c:v>67.218119999999914</c:v>
                </c:pt>
                <c:pt idx="575">
                  <c:v>67.218119999999914</c:v>
                </c:pt>
                <c:pt idx="576">
                  <c:v>67.218119999999914</c:v>
                </c:pt>
                <c:pt idx="577">
                  <c:v>67.218119999999914</c:v>
                </c:pt>
                <c:pt idx="578">
                  <c:v>67.218119999999914</c:v>
                </c:pt>
                <c:pt idx="579">
                  <c:v>67.218119999999914</c:v>
                </c:pt>
                <c:pt idx="580">
                  <c:v>67.218119999999914</c:v>
                </c:pt>
                <c:pt idx="581">
                  <c:v>67.218119999999914</c:v>
                </c:pt>
                <c:pt idx="582">
                  <c:v>67.218119999999914</c:v>
                </c:pt>
                <c:pt idx="583">
                  <c:v>67.218119999999914</c:v>
                </c:pt>
                <c:pt idx="584">
                  <c:v>67.218119999999914</c:v>
                </c:pt>
                <c:pt idx="585">
                  <c:v>67.218119999999914</c:v>
                </c:pt>
                <c:pt idx="586">
                  <c:v>67.218119999999914</c:v>
                </c:pt>
                <c:pt idx="587">
                  <c:v>67.218119999999914</c:v>
                </c:pt>
                <c:pt idx="588">
                  <c:v>67.218119999999914</c:v>
                </c:pt>
                <c:pt idx="589">
                  <c:v>67.218119999999914</c:v>
                </c:pt>
                <c:pt idx="590">
                  <c:v>67.218119999999914</c:v>
                </c:pt>
                <c:pt idx="591">
                  <c:v>67.218119999999914</c:v>
                </c:pt>
                <c:pt idx="592">
                  <c:v>67.218119999999914</c:v>
                </c:pt>
                <c:pt idx="593">
                  <c:v>67.218119999999914</c:v>
                </c:pt>
                <c:pt idx="594">
                  <c:v>67.218119999999914</c:v>
                </c:pt>
                <c:pt idx="595">
                  <c:v>67.218119999999914</c:v>
                </c:pt>
                <c:pt idx="596">
                  <c:v>67.218119999999914</c:v>
                </c:pt>
                <c:pt idx="597">
                  <c:v>67.218119999999914</c:v>
                </c:pt>
                <c:pt idx="598">
                  <c:v>67.218119999999914</c:v>
                </c:pt>
                <c:pt idx="599">
                  <c:v>67.218119999999914</c:v>
                </c:pt>
                <c:pt idx="600">
                  <c:v>67.218119999999914</c:v>
                </c:pt>
                <c:pt idx="601">
                  <c:v>67.218119999999914</c:v>
                </c:pt>
                <c:pt idx="602">
                  <c:v>67.218119999999914</c:v>
                </c:pt>
                <c:pt idx="603">
                  <c:v>67.218119999999914</c:v>
                </c:pt>
                <c:pt idx="604">
                  <c:v>67.218119999999914</c:v>
                </c:pt>
                <c:pt idx="605">
                  <c:v>67.218119999999914</c:v>
                </c:pt>
                <c:pt idx="606">
                  <c:v>67.218119999999914</c:v>
                </c:pt>
                <c:pt idx="607">
                  <c:v>67.218119999999914</c:v>
                </c:pt>
                <c:pt idx="608">
                  <c:v>67.218119999999914</c:v>
                </c:pt>
                <c:pt idx="609">
                  <c:v>67.218119999999914</c:v>
                </c:pt>
                <c:pt idx="610">
                  <c:v>67.218119999999914</c:v>
                </c:pt>
                <c:pt idx="611">
                  <c:v>67.218119999999914</c:v>
                </c:pt>
                <c:pt idx="612">
                  <c:v>67.218119999999914</c:v>
                </c:pt>
                <c:pt idx="613">
                  <c:v>67.218119999999914</c:v>
                </c:pt>
                <c:pt idx="614">
                  <c:v>67.218119999999914</c:v>
                </c:pt>
                <c:pt idx="615">
                  <c:v>67.218119999999914</c:v>
                </c:pt>
                <c:pt idx="616">
                  <c:v>67.218119999999914</c:v>
                </c:pt>
                <c:pt idx="617">
                  <c:v>67.218119999999914</c:v>
                </c:pt>
                <c:pt idx="618">
                  <c:v>67.218119999999914</c:v>
                </c:pt>
                <c:pt idx="619">
                  <c:v>67.218119999999914</c:v>
                </c:pt>
                <c:pt idx="620">
                  <c:v>67.218119999999914</c:v>
                </c:pt>
                <c:pt idx="621">
                  <c:v>67.218119999999914</c:v>
                </c:pt>
                <c:pt idx="622">
                  <c:v>67.218119999999914</c:v>
                </c:pt>
                <c:pt idx="623">
                  <c:v>67.218119999999914</c:v>
                </c:pt>
                <c:pt idx="624">
                  <c:v>67.218119999999914</c:v>
                </c:pt>
                <c:pt idx="625">
                  <c:v>67.218119999999914</c:v>
                </c:pt>
                <c:pt idx="626">
                  <c:v>67.218119999999914</c:v>
                </c:pt>
                <c:pt idx="627">
                  <c:v>67.218119999999914</c:v>
                </c:pt>
                <c:pt idx="628">
                  <c:v>67.218119999999914</c:v>
                </c:pt>
                <c:pt idx="629">
                  <c:v>67.218119999999914</c:v>
                </c:pt>
                <c:pt idx="630">
                  <c:v>67.218119999999914</c:v>
                </c:pt>
                <c:pt idx="631">
                  <c:v>67.218119999999914</c:v>
                </c:pt>
                <c:pt idx="632">
                  <c:v>67.218119999999914</c:v>
                </c:pt>
                <c:pt idx="633">
                  <c:v>67.218119999999914</c:v>
                </c:pt>
                <c:pt idx="634">
                  <c:v>67.218119999999914</c:v>
                </c:pt>
                <c:pt idx="635">
                  <c:v>67.218119999999914</c:v>
                </c:pt>
                <c:pt idx="636">
                  <c:v>67.218119999999914</c:v>
                </c:pt>
                <c:pt idx="637">
                  <c:v>67.218119999999914</c:v>
                </c:pt>
                <c:pt idx="638">
                  <c:v>67.218119999999914</c:v>
                </c:pt>
                <c:pt idx="639">
                  <c:v>67.218119999999914</c:v>
                </c:pt>
                <c:pt idx="640">
                  <c:v>67.218119999999914</c:v>
                </c:pt>
                <c:pt idx="641">
                  <c:v>67.218119999999914</c:v>
                </c:pt>
                <c:pt idx="642">
                  <c:v>67.218119999999914</c:v>
                </c:pt>
                <c:pt idx="643">
                  <c:v>67.218119999999914</c:v>
                </c:pt>
                <c:pt idx="644">
                  <c:v>67.218119999999914</c:v>
                </c:pt>
                <c:pt idx="645">
                  <c:v>67.218119999999914</c:v>
                </c:pt>
                <c:pt idx="646">
                  <c:v>67.218119999999914</c:v>
                </c:pt>
                <c:pt idx="647">
                  <c:v>67.218119999999914</c:v>
                </c:pt>
                <c:pt idx="648">
                  <c:v>67.218119999999914</c:v>
                </c:pt>
                <c:pt idx="649">
                  <c:v>67.218119999999914</c:v>
                </c:pt>
                <c:pt idx="650">
                  <c:v>67.218119999999914</c:v>
                </c:pt>
                <c:pt idx="651">
                  <c:v>67.218119999999914</c:v>
                </c:pt>
                <c:pt idx="652">
                  <c:v>67.218119999999914</c:v>
                </c:pt>
                <c:pt idx="653">
                  <c:v>67.218119999999914</c:v>
                </c:pt>
                <c:pt idx="654">
                  <c:v>67.218119999999914</c:v>
                </c:pt>
                <c:pt idx="655">
                  <c:v>67.218119999999914</c:v>
                </c:pt>
                <c:pt idx="656">
                  <c:v>67.218119999999914</c:v>
                </c:pt>
                <c:pt idx="657">
                  <c:v>67.218119999999914</c:v>
                </c:pt>
                <c:pt idx="658">
                  <c:v>67.218119999999914</c:v>
                </c:pt>
                <c:pt idx="659">
                  <c:v>67.218119999999914</c:v>
                </c:pt>
                <c:pt idx="660">
                  <c:v>67.218119999999914</c:v>
                </c:pt>
                <c:pt idx="661">
                  <c:v>67.218119999999914</c:v>
                </c:pt>
                <c:pt idx="662">
                  <c:v>67.218119999999914</c:v>
                </c:pt>
                <c:pt idx="663">
                  <c:v>67.218119999999914</c:v>
                </c:pt>
                <c:pt idx="664">
                  <c:v>67.218119999999914</c:v>
                </c:pt>
                <c:pt idx="665">
                  <c:v>67.218119999999914</c:v>
                </c:pt>
                <c:pt idx="666">
                  <c:v>67.218119999999914</c:v>
                </c:pt>
                <c:pt idx="667">
                  <c:v>67.218119999999914</c:v>
                </c:pt>
                <c:pt idx="668">
                  <c:v>67.218119999999914</c:v>
                </c:pt>
                <c:pt idx="669">
                  <c:v>67.218119999999914</c:v>
                </c:pt>
                <c:pt idx="670">
                  <c:v>67.218119999999914</c:v>
                </c:pt>
                <c:pt idx="671">
                  <c:v>67.218119999999914</c:v>
                </c:pt>
                <c:pt idx="672">
                  <c:v>67.218119999999914</c:v>
                </c:pt>
                <c:pt idx="673">
                  <c:v>67.218119999999914</c:v>
                </c:pt>
                <c:pt idx="674">
                  <c:v>67.218119999999914</c:v>
                </c:pt>
                <c:pt idx="675">
                  <c:v>67.218119999999914</c:v>
                </c:pt>
                <c:pt idx="676">
                  <c:v>67.218119999999914</c:v>
                </c:pt>
                <c:pt idx="677">
                  <c:v>67.218119999999914</c:v>
                </c:pt>
                <c:pt idx="678">
                  <c:v>67.218119999999914</c:v>
                </c:pt>
                <c:pt idx="679">
                  <c:v>67.218119999999914</c:v>
                </c:pt>
                <c:pt idx="680">
                  <c:v>67.218119999999914</c:v>
                </c:pt>
                <c:pt idx="681">
                  <c:v>67.218119999999914</c:v>
                </c:pt>
                <c:pt idx="682">
                  <c:v>67.218119999999914</c:v>
                </c:pt>
                <c:pt idx="683">
                  <c:v>67.218119999999914</c:v>
                </c:pt>
                <c:pt idx="684">
                  <c:v>67.218119999999914</c:v>
                </c:pt>
                <c:pt idx="685">
                  <c:v>67.218119999999914</c:v>
                </c:pt>
                <c:pt idx="686">
                  <c:v>67.218119999999914</c:v>
                </c:pt>
                <c:pt idx="687">
                  <c:v>67.218119999999914</c:v>
                </c:pt>
                <c:pt idx="688">
                  <c:v>67.218119999999914</c:v>
                </c:pt>
                <c:pt idx="689">
                  <c:v>67.218119999999914</c:v>
                </c:pt>
                <c:pt idx="690">
                  <c:v>67.218119999999914</c:v>
                </c:pt>
                <c:pt idx="691">
                  <c:v>67.218119999999914</c:v>
                </c:pt>
                <c:pt idx="692">
                  <c:v>67.218119999999914</c:v>
                </c:pt>
                <c:pt idx="693">
                  <c:v>67.218119999999914</c:v>
                </c:pt>
                <c:pt idx="694">
                  <c:v>67.218119999999914</c:v>
                </c:pt>
                <c:pt idx="695">
                  <c:v>67.218119999999914</c:v>
                </c:pt>
                <c:pt idx="696">
                  <c:v>67.218119999999914</c:v>
                </c:pt>
                <c:pt idx="697">
                  <c:v>67.218119999999914</c:v>
                </c:pt>
                <c:pt idx="698">
                  <c:v>67.218119999999914</c:v>
                </c:pt>
                <c:pt idx="699">
                  <c:v>67.218119999999914</c:v>
                </c:pt>
                <c:pt idx="700">
                  <c:v>67.218119999999914</c:v>
                </c:pt>
                <c:pt idx="701">
                  <c:v>67.218119999999914</c:v>
                </c:pt>
                <c:pt idx="702">
                  <c:v>67.218119999999914</c:v>
                </c:pt>
                <c:pt idx="703">
                  <c:v>67.218119999999914</c:v>
                </c:pt>
                <c:pt idx="704">
                  <c:v>67.218119999999914</c:v>
                </c:pt>
                <c:pt idx="705">
                  <c:v>67.218119999999914</c:v>
                </c:pt>
                <c:pt idx="706">
                  <c:v>67.218119999999914</c:v>
                </c:pt>
                <c:pt idx="707">
                  <c:v>67.218119999999914</c:v>
                </c:pt>
                <c:pt idx="708">
                  <c:v>67.218119999999914</c:v>
                </c:pt>
                <c:pt idx="709">
                  <c:v>67.218119999999914</c:v>
                </c:pt>
                <c:pt idx="710">
                  <c:v>67.218119999999914</c:v>
                </c:pt>
                <c:pt idx="711">
                  <c:v>67.218119999999914</c:v>
                </c:pt>
                <c:pt idx="712">
                  <c:v>67.218119999999914</c:v>
                </c:pt>
                <c:pt idx="713">
                  <c:v>67.218119999999914</c:v>
                </c:pt>
                <c:pt idx="714">
                  <c:v>67.218119999999914</c:v>
                </c:pt>
                <c:pt idx="715">
                  <c:v>67.218119999999914</c:v>
                </c:pt>
                <c:pt idx="716">
                  <c:v>67.218119999999914</c:v>
                </c:pt>
                <c:pt idx="717">
                  <c:v>67.218119999999914</c:v>
                </c:pt>
                <c:pt idx="718">
                  <c:v>67.218119999999914</c:v>
                </c:pt>
                <c:pt idx="719">
                  <c:v>67.218119999999914</c:v>
                </c:pt>
                <c:pt idx="720">
                  <c:v>67.218119999999914</c:v>
                </c:pt>
                <c:pt idx="721">
                  <c:v>67.218119999999914</c:v>
                </c:pt>
                <c:pt idx="722">
                  <c:v>67.218119999999914</c:v>
                </c:pt>
                <c:pt idx="723">
                  <c:v>67.218119999999914</c:v>
                </c:pt>
                <c:pt idx="724">
                  <c:v>67.218119999999914</c:v>
                </c:pt>
                <c:pt idx="725">
                  <c:v>67.218119999999914</c:v>
                </c:pt>
                <c:pt idx="726">
                  <c:v>67.218119999999914</c:v>
                </c:pt>
                <c:pt idx="727">
                  <c:v>67.218119999999914</c:v>
                </c:pt>
                <c:pt idx="728">
                  <c:v>67.218119999999914</c:v>
                </c:pt>
                <c:pt idx="729">
                  <c:v>67.218119999999914</c:v>
                </c:pt>
                <c:pt idx="730">
                  <c:v>67.218119999999914</c:v>
                </c:pt>
                <c:pt idx="731">
                  <c:v>67.218119999999914</c:v>
                </c:pt>
                <c:pt idx="732">
                  <c:v>67.218119999999914</c:v>
                </c:pt>
                <c:pt idx="733">
                  <c:v>67.218119999999914</c:v>
                </c:pt>
                <c:pt idx="734">
                  <c:v>67.218119999999914</c:v>
                </c:pt>
                <c:pt idx="735">
                  <c:v>67.218119999999914</c:v>
                </c:pt>
                <c:pt idx="736">
                  <c:v>67.218119999999914</c:v>
                </c:pt>
                <c:pt idx="737">
                  <c:v>67.218119999999914</c:v>
                </c:pt>
                <c:pt idx="738">
                  <c:v>67.218119999999914</c:v>
                </c:pt>
                <c:pt idx="739">
                  <c:v>67.218119999999914</c:v>
                </c:pt>
                <c:pt idx="740">
                  <c:v>67.218119999999914</c:v>
                </c:pt>
                <c:pt idx="741">
                  <c:v>67.218119999999914</c:v>
                </c:pt>
                <c:pt idx="742">
                  <c:v>67.218119999999914</c:v>
                </c:pt>
                <c:pt idx="743">
                  <c:v>67.218119999999914</c:v>
                </c:pt>
                <c:pt idx="744">
                  <c:v>67.218119999999914</c:v>
                </c:pt>
                <c:pt idx="745">
                  <c:v>67.218119999999914</c:v>
                </c:pt>
                <c:pt idx="746">
                  <c:v>67.218119999999914</c:v>
                </c:pt>
                <c:pt idx="747">
                  <c:v>67.218119999999914</c:v>
                </c:pt>
                <c:pt idx="748">
                  <c:v>67.218119999999914</c:v>
                </c:pt>
                <c:pt idx="749">
                  <c:v>67.218119999999914</c:v>
                </c:pt>
                <c:pt idx="750">
                  <c:v>67.218119999999914</c:v>
                </c:pt>
                <c:pt idx="751">
                  <c:v>67.218119999999914</c:v>
                </c:pt>
                <c:pt idx="752">
                  <c:v>67.218119999999914</c:v>
                </c:pt>
                <c:pt idx="753">
                  <c:v>67.218119999999914</c:v>
                </c:pt>
                <c:pt idx="754">
                  <c:v>67.218119999999914</c:v>
                </c:pt>
                <c:pt idx="755">
                  <c:v>67.218119999999914</c:v>
                </c:pt>
                <c:pt idx="756">
                  <c:v>67.218119999999914</c:v>
                </c:pt>
                <c:pt idx="757">
                  <c:v>67.218119999999914</c:v>
                </c:pt>
                <c:pt idx="758">
                  <c:v>67.218119999999914</c:v>
                </c:pt>
                <c:pt idx="759">
                  <c:v>67.218119999999914</c:v>
                </c:pt>
                <c:pt idx="760">
                  <c:v>67.218119999999914</c:v>
                </c:pt>
                <c:pt idx="761">
                  <c:v>67.218119999999914</c:v>
                </c:pt>
                <c:pt idx="762">
                  <c:v>67.218119999999914</c:v>
                </c:pt>
                <c:pt idx="763">
                  <c:v>67.218119999999914</c:v>
                </c:pt>
                <c:pt idx="764">
                  <c:v>67.218119999999914</c:v>
                </c:pt>
                <c:pt idx="765">
                  <c:v>67.218119999999914</c:v>
                </c:pt>
                <c:pt idx="766">
                  <c:v>67.218119999999914</c:v>
                </c:pt>
                <c:pt idx="767">
                  <c:v>67.218119999999914</c:v>
                </c:pt>
                <c:pt idx="768">
                  <c:v>67.218119999999914</c:v>
                </c:pt>
                <c:pt idx="769">
                  <c:v>67.218119999999914</c:v>
                </c:pt>
                <c:pt idx="770">
                  <c:v>67.218119999999914</c:v>
                </c:pt>
                <c:pt idx="771">
                  <c:v>67.218119999999914</c:v>
                </c:pt>
                <c:pt idx="772">
                  <c:v>67.218119999999914</c:v>
                </c:pt>
                <c:pt idx="773">
                  <c:v>67.218119999999914</c:v>
                </c:pt>
                <c:pt idx="774">
                  <c:v>67.218119999999914</c:v>
                </c:pt>
                <c:pt idx="775">
                  <c:v>67.218119999999914</c:v>
                </c:pt>
                <c:pt idx="776">
                  <c:v>67.218119999999914</c:v>
                </c:pt>
                <c:pt idx="777">
                  <c:v>67.218119999999914</c:v>
                </c:pt>
                <c:pt idx="778">
                  <c:v>67.218119999999914</c:v>
                </c:pt>
                <c:pt idx="779">
                  <c:v>67.218119999999914</c:v>
                </c:pt>
                <c:pt idx="780">
                  <c:v>67.218119999999914</c:v>
                </c:pt>
                <c:pt idx="781">
                  <c:v>67.218119999999914</c:v>
                </c:pt>
                <c:pt idx="782">
                  <c:v>67.218119999999914</c:v>
                </c:pt>
                <c:pt idx="783">
                  <c:v>67.218119999999914</c:v>
                </c:pt>
                <c:pt idx="784">
                  <c:v>67.218119999999914</c:v>
                </c:pt>
                <c:pt idx="785">
                  <c:v>67.218119999999914</c:v>
                </c:pt>
                <c:pt idx="786">
                  <c:v>67.218119999999914</c:v>
                </c:pt>
                <c:pt idx="787">
                  <c:v>67.218119999999914</c:v>
                </c:pt>
                <c:pt idx="788">
                  <c:v>67.218119999999914</c:v>
                </c:pt>
                <c:pt idx="789">
                  <c:v>67.218119999999914</c:v>
                </c:pt>
                <c:pt idx="790">
                  <c:v>67.218119999999914</c:v>
                </c:pt>
                <c:pt idx="791">
                  <c:v>67.218119999999914</c:v>
                </c:pt>
                <c:pt idx="792">
                  <c:v>67.218119999999914</c:v>
                </c:pt>
                <c:pt idx="793">
                  <c:v>67.218119999999914</c:v>
                </c:pt>
                <c:pt idx="794">
                  <c:v>67.218119999999914</c:v>
                </c:pt>
                <c:pt idx="795">
                  <c:v>67.218119999999914</c:v>
                </c:pt>
                <c:pt idx="796">
                  <c:v>67.218119999999914</c:v>
                </c:pt>
                <c:pt idx="797">
                  <c:v>67.218119999999914</c:v>
                </c:pt>
                <c:pt idx="798">
                  <c:v>67.218119999999914</c:v>
                </c:pt>
                <c:pt idx="799">
                  <c:v>67.218119999999914</c:v>
                </c:pt>
                <c:pt idx="800">
                  <c:v>67.218119999999914</c:v>
                </c:pt>
                <c:pt idx="801">
                  <c:v>67.218119999999914</c:v>
                </c:pt>
                <c:pt idx="802">
                  <c:v>67.218119999999914</c:v>
                </c:pt>
                <c:pt idx="803">
                  <c:v>67.218119999999914</c:v>
                </c:pt>
                <c:pt idx="804">
                  <c:v>67.218119999999914</c:v>
                </c:pt>
                <c:pt idx="805">
                  <c:v>67.218119999999914</c:v>
                </c:pt>
                <c:pt idx="806">
                  <c:v>67.218119999999914</c:v>
                </c:pt>
                <c:pt idx="807">
                  <c:v>67.218119999999914</c:v>
                </c:pt>
                <c:pt idx="808">
                  <c:v>67.218119999999914</c:v>
                </c:pt>
                <c:pt idx="809">
                  <c:v>67.218119999999914</c:v>
                </c:pt>
                <c:pt idx="810">
                  <c:v>67.218119999999914</c:v>
                </c:pt>
                <c:pt idx="811">
                  <c:v>67.218119999999914</c:v>
                </c:pt>
                <c:pt idx="812">
                  <c:v>67.218119999999914</c:v>
                </c:pt>
                <c:pt idx="813">
                  <c:v>67.218119999999914</c:v>
                </c:pt>
                <c:pt idx="814">
                  <c:v>67.218119999999914</c:v>
                </c:pt>
                <c:pt idx="815">
                  <c:v>67.218119999999914</c:v>
                </c:pt>
                <c:pt idx="816">
                  <c:v>67.218119999999914</c:v>
                </c:pt>
                <c:pt idx="817">
                  <c:v>67.218119999999914</c:v>
                </c:pt>
                <c:pt idx="818">
                  <c:v>67.218119999999914</c:v>
                </c:pt>
                <c:pt idx="819">
                  <c:v>67.218119999999914</c:v>
                </c:pt>
                <c:pt idx="820">
                  <c:v>67.218119999999914</c:v>
                </c:pt>
                <c:pt idx="821">
                  <c:v>67.218119999999914</c:v>
                </c:pt>
                <c:pt idx="822">
                  <c:v>67.218119999999914</c:v>
                </c:pt>
                <c:pt idx="823">
                  <c:v>67.218119999999914</c:v>
                </c:pt>
                <c:pt idx="824">
                  <c:v>67.218119999999914</c:v>
                </c:pt>
                <c:pt idx="825">
                  <c:v>67.218119999999914</c:v>
                </c:pt>
                <c:pt idx="826">
                  <c:v>67.218119999999914</c:v>
                </c:pt>
                <c:pt idx="827">
                  <c:v>67.218119999999914</c:v>
                </c:pt>
                <c:pt idx="828">
                  <c:v>67.218119999999914</c:v>
                </c:pt>
                <c:pt idx="829">
                  <c:v>67.218119999999914</c:v>
                </c:pt>
                <c:pt idx="830">
                  <c:v>67.218119999999914</c:v>
                </c:pt>
                <c:pt idx="831">
                  <c:v>67.218119999999914</c:v>
                </c:pt>
                <c:pt idx="832">
                  <c:v>67.218119999999914</c:v>
                </c:pt>
                <c:pt idx="833">
                  <c:v>67.218119999999914</c:v>
                </c:pt>
                <c:pt idx="834">
                  <c:v>67.218119999999914</c:v>
                </c:pt>
                <c:pt idx="835">
                  <c:v>67.218119999999914</c:v>
                </c:pt>
                <c:pt idx="836">
                  <c:v>67.218119999999914</c:v>
                </c:pt>
                <c:pt idx="837">
                  <c:v>67.218119999999914</c:v>
                </c:pt>
                <c:pt idx="838">
                  <c:v>67.218119999999914</c:v>
                </c:pt>
                <c:pt idx="839">
                  <c:v>67.218119999999914</c:v>
                </c:pt>
                <c:pt idx="840">
                  <c:v>67.218119999999914</c:v>
                </c:pt>
                <c:pt idx="841">
                  <c:v>67.218119999999914</c:v>
                </c:pt>
                <c:pt idx="842">
                  <c:v>67.218119999999914</c:v>
                </c:pt>
                <c:pt idx="843">
                  <c:v>67.218119999999914</c:v>
                </c:pt>
                <c:pt idx="844">
                  <c:v>67.218119999999914</c:v>
                </c:pt>
                <c:pt idx="845">
                  <c:v>67.218119999999914</c:v>
                </c:pt>
                <c:pt idx="846">
                  <c:v>67.218119999999914</c:v>
                </c:pt>
                <c:pt idx="847">
                  <c:v>67.218119999999914</c:v>
                </c:pt>
                <c:pt idx="848">
                  <c:v>67.218119999999914</c:v>
                </c:pt>
                <c:pt idx="849">
                  <c:v>67.218119999999914</c:v>
                </c:pt>
                <c:pt idx="850">
                  <c:v>67.218119999999914</c:v>
                </c:pt>
                <c:pt idx="851">
                  <c:v>67.218119999999914</c:v>
                </c:pt>
                <c:pt idx="852">
                  <c:v>67.218119999999914</c:v>
                </c:pt>
                <c:pt idx="853">
                  <c:v>67.218119999999914</c:v>
                </c:pt>
                <c:pt idx="854">
                  <c:v>67.218119999999914</c:v>
                </c:pt>
                <c:pt idx="855">
                  <c:v>67.218119999999914</c:v>
                </c:pt>
                <c:pt idx="856">
                  <c:v>67.218119999999914</c:v>
                </c:pt>
                <c:pt idx="857">
                  <c:v>67.218119999999914</c:v>
                </c:pt>
                <c:pt idx="858">
                  <c:v>67.218119999999914</c:v>
                </c:pt>
                <c:pt idx="859">
                  <c:v>67.218119999999914</c:v>
                </c:pt>
                <c:pt idx="860">
                  <c:v>67.218119999999914</c:v>
                </c:pt>
                <c:pt idx="861">
                  <c:v>67.218119999999914</c:v>
                </c:pt>
                <c:pt idx="862">
                  <c:v>67.218119999999914</c:v>
                </c:pt>
                <c:pt idx="863">
                  <c:v>67.218119999999914</c:v>
                </c:pt>
                <c:pt idx="864">
                  <c:v>67.218119999999914</c:v>
                </c:pt>
                <c:pt idx="865">
                  <c:v>67.218119999999914</c:v>
                </c:pt>
                <c:pt idx="866">
                  <c:v>67.218119999999914</c:v>
                </c:pt>
                <c:pt idx="867">
                  <c:v>67.218119999999914</c:v>
                </c:pt>
                <c:pt idx="868">
                  <c:v>67.218119999999914</c:v>
                </c:pt>
                <c:pt idx="869">
                  <c:v>67.218119999999914</c:v>
                </c:pt>
                <c:pt idx="870">
                  <c:v>67.218119999999914</c:v>
                </c:pt>
                <c:pt idx="871">
                  <c:v>67.218119999999914</c:v>
                </c:pt>
                <c:pt idx="872">
                  <c:v>67.218119999999914</c:v>
                </c:pt>
                <c:pt idx="873">
                  <c:v>67.218119999999914</c:v>
                </c:pt>
                <c:pt idx="874">
                  <c:v>67.218119999999914</c:v>
                </c:pt>
                <c:pt idx="875">
                  <c:v>67.218119999999914</c:v>
                </c:pt>
                <c:pt idx="876">
                  <c:v>67.218119999999914</c:v>
                </c:pt>
                <c:pt idx="877">
                  <c:v>67.218119999999914</c:v>
                </c:pt>
                <c:pt idx="878">
                  <c:v>67.218119999999914</c:v>
                </c:pt>
                <c:pt idx="879">
                  <c:v>67.218119999999914</c:v>
                </c:pt>
                <c:pt idx="880">
                  <c:v>67.218119999999914</c:v>
                </c:pt>
                <c:pt idx="881">
                  <c:v>67.218119999999914</c:v>
                </c:pt>
                <c:pt idx="882">
                  <c:v>67.218119999999914</c:v>
                </c:pt>
                <c:pt idx="883">
                  <c:v>67.218119999999914</c:v>
                </c:pt>
                <c:pt idx="884">
                  <c:v>67.218119999999914</c:v>
                </c:pt>
                <c:pt idx="885">
                  <c:v>67.218119999999914</c:v>
                </c:pt>
                <c:pt idx="886">
                  <c:v>67.218119999999914</c:v>
                </c:pt>
                <c:pt idx="887">
                  <c:v>67.218119999999914</c:v>
                </c:pt>
                <c:pt idx="888">
                  <c:v>67.218119999999914</c:v>
                </c:pt>
                <c:pt idx="889">
                  <c:v>67.218119999999914</c:v>
                </c:pt>
                <c:pt idx="890">
                  <c:v>67.218119999999914</c:v>
                </c:pt>
                <c:pt idx="891">
                  <c:v>67.218119999999914</c:v>
                </c:pt>
                <c:pt idx="892">
                  <c:v>67.218119999999914</c:v>
                </c:pt>
                <c:pt idx="893">
                  <c:v>67.218119999999914</c:v>
                </c:pt>
                <c:pt idx="894">
                  <c:v>67.218119999999914</c:v>
                </c:pt>
                <c:pt idx="895">
                  <c:v>67.218119999999914</c:v>
                </c:pt>
                <c:pt idx="896">
                  <c:v>67.218119999999914</c:v>
                </c:pt>
                <c:pt idx="897">
                  <c:v>67.218119999999914</c:v>
                </c:pt>
                <c:pt idx="898">
                  <c:v>67.218119999999914</c:v>
                </c:pt>
                <c:pt idx="899">
                  <c:v>67.218119999999914</c:v>
                </c:pt>
                <c:pt idx="900">
                  <c:v>67.218119999999914</c:v>
                </c:pt>
                <c:pt idx="901">
                  <c:v>67.218119999999914</c:v>
                </c:pt>
                <c:pt idx="902">
                  <c:v>67.218119999999914</c:v>
                </c:pt>
                <c:pt idx="903">
                  <c:v>67.218119999999914</c:v>
                </c:pt>
                <c:pt idx="904">
                  <c:v>67.218119999999914</c:v>
                </c:pt>
                <c:pt idx="905">
                  <c:v>67.218119999999914</c:v>
                </c:pt>
                <c:pt idx="906">
                  <c:v>67.218119999999914</c:v>
                </c:pt>
                <c:pt idx="907">
                  <c:v>67.218119999999914</c:v>
                </c:pt>
                <c:pt idx="908">
                  <c:v>67.218119999999914</c:v>
                </c:pt>
                <c:pt idx="909">
                  <c:v>67.218119999999914</c:v>
                </c:pt>
                <c:pt idx="910">
                  <c:v>67.218119999999914</c:v>
                </c:pt>
                <c:pt idx="911">
                  <c:v>67.218119999999914</c:v>
                </c:pt>
                <c:pt idx="912">
                  <c:v>67.218119999999914</c:v>
                </c:pt>
                <c:pt idx="913">
                  <c:v>67.218119999999914</c:v>
                </c:pt>
                <c:pt idx="914">
                  <c:v>67.218119999999914</c:v>
                </c:pt>
                <c:pt idx="915">
                  <c:v>67.218119999999914</c:v>
                </c:pt>
                <c:pt idx="916">
                  <c:v>67.218119999999914</c:v>
                </c:pt>
                <c:pt idx="917">
                  <c:v>67.218119999999914</c:v>
                </c:pt>
                <c:pt idx="918">
                  <c:v>67.218119999999914</c:v>
                </c:pt>
                <c:pt idx="919">
                  <c:v>67.218119999999914</c:v>
                </c:pt>
                <c:pt idx="920">
                  <c:v>67.218119999999914</c:v>
                </c:pt>
                <c:pt idx="921">
                  <c:v>67.218119999999914</c:v>
                </c:pt>
                <c:pt idx="922">
                  <c:v>67.218119999999914</c:v>
                </c:pt>
                <c:pt idx="923">
                  <c:v>67.218119999999914</c:v>
                </c:pt>
                <c:pt idx="924">
                  <c:v>67.218119999999914</c:v>
                </c:pt>
                <c:pt idx="925">
                  <c:v>67.218119999999914</c:v>
                </c:pt>
                <c:pt idx="926">
                  <c:v>67.218119999999914</c:v>
                </c:pt>
                <c:pt idx="927">
                  <c:v>67.218119999999914</c:v>
                </c:pt>
                <c:pt idx="928">
                  <c:v>67.218119999999914</c:v>
                </c:pt>
                <c:pt idx="929">
                  <c:v>67.218119999999914</c:v>
                </c:pt>
                <c:pt idx="930">
                  <c:v>67.218119999999914</c:v>
                </c:pt>
                <c:pt idx="931">
                  <c:v>67.218119999999914</c:v>
                </c:pt>
                <c:pt idx="932">
                  <c:v>67.218119999999914</c:v>
                </c:pt>
                <c:pt idx="933">
                  <c:v>67.218119999999914</c:v>
                </c:pt>
                <c:pt idx="934">
                  <c:v>67.218119999999914</c:v>
                </c:pt>
                <c:pt idx="935">
                  <c:v>67.218119999999914</c:v>
                </c:pt>
                <c:pt idx="936">
                  <c:v>67.218119999999914</c:v>
                </c:pt>
                <c:pt idx="937">
                  <c:v>67.218119999999914</c:v>
                </c:pt>
                <c:pt idx="938">
                  <c:v>67.218119999999914</c:v>
                </c:pt>
                <c:pt idx="939">
                  <c:v>67.218119999999914</c:v>
                </c:pt>
                <c:pt idx="940">
                  <c:v>67.218119999999914</c:v>
                </c:pt>
                <c:pt idx="941">
                  <c:v>67.218119999999914</c:v>
                </c:pt>
                <c:pt idx="942">
                  <c:v>67.218119999999914</c:v>
                </c:pt>
                <c:pt idx="943">
                  <c:v>67.218119999999914</c:v>
                </c:pt>
                <c:pt idx="944">
                  <c:v>67.218119999999914</c:v>
                </c:pt>
                <c:pt idx="945">
                  <c:v>67.218119999999914</c:v>
                </c:pt>
                <c:pt idx="946">
                  <c:v>67.218119999999914</c:v>
                </c:pt>
                <c:pt idx="947">
                  <c:v>67.218119999999914</c:v>
                </c:pt>
                <c:pt idx="948">
                  <c:v>67.218119999999914</c:v>
                </c:pt>
                <c:pt idx="949">
                  <c:v>67.218119999999914</c:v>
                </c:pt>
                <c:pt idx="950">
                  <c:v>67.218119999999914</c:v>
                </c:pt>
                <c:pt idx="951">
                  <c:v>67.218119999999914</c:v>
                </c:pt>
                <c:pt idx="952">
                  <c:v>67.218119999999914</c:v>
                </c:pt>
                <c:pt idx="953">
                  <c:v>67.218119999999914</c:v>
                </c:pt>
                <c:pt idx="954">
                  <c:v>67.218119999999914</c:v>
                </c:pt>
                <c:pt idx="955">
                  <c:v>67.218119999999914</c:v>
                </c:pt>
                <c:pt idx="956">
                  <c:v>67.218119999999914</c:v>
                </c:pt>
                <c:pt idx="957">
                  <c:v>67.218119999999914</c:v>
                </c:pt>
                <c:pt idx="958">
                  <c:v>67.218119999999914</c:v>
                </c:pt>
                <c:pt idx="959">
                  <c:v>67.218119999999914</c:v>
                </c:pt>
                <c:pt idx="960">
                  <c:v>67.218119999999914</c:v>
                </c:pt>
                <c:pt idx="961">
                  <c:v>67.218119999999914</c:v>
                </c:pt>
                <c:pt idx="962">
                  <c:v>67.218119999999914</c:v>
                </c:pt>
                <c:pt idx="963">
                  <c:v>67.218119999999914</c:v>
                </c:pt>
                <c:pt idx="964">
                  <c:v>67.218119999999914</c:v>
                </c:pt>
                <c:pt idx="965">
                  <c:v>67.218119999999914</c:v>
                </c:pt>
                <c:pt idx="966">
                  <c:v>67.218119999999914</c:v>
                </c:pt>
                <c:pt idx="967">
                  <c:v>67.218119999999914</c:v>
                </c:pt>
                <c:pt idx="968">
                  <c:v>67.218119999999914</c:v>
                </c:pt>
                <c:pt idx="969">
                  <c:v>67.218119999999914</c:v>
                </c:pt>
                <c:pt idx="970">
                  <c:v>67.218119999999914</c:v>
                </c:pt>
                <c:pt idx="971">
                  <c:v>67.218119999999914</c:v>
                </c:pt>
                <c:pt idx="972">
                  <c:v>67.218119999999914</c:v>
                </c:pt>
                <c:pt idx="973">
                  <c:v>67.218119999999914</c:v>
                </c:pt>
                <c:pt idx="974">
                  <c:v>67.218119999999914</c:v>
                </c:pt>
                <c:pt idx="975">
                  <c:v>67.218119999999914</c:v>
                </c:pt>
                <c:pt idx="976">
                  <c:v>67.218119999999914</c:v>
                </c:pt>
                <c:pt idx="977">
                  <c:v>67.218119999999914</c:v>
                </c:pt>
                <c:pt idx="978">
                  <c:v>67.218119999999914</c:v>
                </c:pt>
                <c:pt idx="979">
                  <c:v>67.218119999999914</c:v>
                </c:pt>
                <c:pt idx="980">
                  <c:v>67.218119999999914</c:v>
                </c:pt>
                <c:pt idx="981">
                  <c:v>67.218119999999914</c:v>
                </c:pt>
                <c:pt idx="982">
                  <c:v>67.218119999999914</c:v>
                </c:pt>
                <c:pt idx="983">
                  <c:v>67.218119999999914</c:v>
                </c:pt>
                <c:pt idx="984">
                  <c:v>67.218119999999914</c:v>
                </c:pt>
                <c:pt idx="985">
                  <c:v>67.218119999999914</c:v>
                </c:pt>
                <c:pt idx="986">
                  <c:v>67.218119999999914</c:v>
                </c:pt>
                <c:pt idx="987">
                  <c:v>67.218119999999914</c:v>
                </c:pt>
                <c:pt idx="988">
                  <c:v>67.218119999999914</c:v>
                </c:pt>
                <c:pt idx="989">
                  <c:v>67.218119999999914</c:v>
                </c:pt>
                <c:pt idx="990">
                  <c:v>67.218119999999914</c:v>
                </c:pt>
                <c:pt idx="991">
                  <c:v>67.218119999999914</c:v>
                </c:pt>
                <c:pt idx="992">
                  <c:v>67.218119999999914</c:v>
                </c:pt>
                <c:pt idx="993">
                  <c:v>67.218119999999914</c:v>
                </c:pt>
                <c:pt idx="994">
                  <c:v>67.218119999999914</c:v>
                </c:pt>
                <c:pt idx="995">
                  <c:v>67.218119999999914</c:v>
                </c:pt>
                <c:pt idx="996">
                  <c:v>67.218119999999914</c:v>
                </c:pt>
                <c:pt idx="997">
                  <c:v>67.218119999999914</c:v>
                </c:pt>
                <c:pt idx="998">
                  <c:v>67.218119999999914</c:v>
                </c:pt>
                <c:pt idx="999">
                  <c:v>67.218119999999914</c:v>
                </c:pt>
                <c:pt idx="1000">
                  <c:v>67.218119999999914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C4-48D6-934B-5D8E0316888E}"/>
            </c:ext>
          </c:extLst>
        </c:ser>
        <c:ser>
          <c:idx val="0"/>
          <c:order val="2"/>
          <c:tx>
            <c:strRef>
              <c:f>Courbes!$B$133</c:f>
              <c:strCache>
                <c:ptCount val="1"/>
                <c:pt idx="0">
                  <c:v>Traînée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Calculs!$W$4:$W$1004</c:f>
              <c:numCache>
                <c:formatCode>0.00</c:formatCode>
                <c:ptCount val="1001"/>
                <c:pt idx="0">
                  <c:v>0</c:v>
                </c:pt>
                <c:pt idx="1">
                  <c:v>7.4293202111515256E-7</c:v>
                </c:pt>
                <c:pt idx="2">
                  <c:v>2.0440279596847935E-4</c:v>
                </c:pt>
                <c:pt idx="3">
                  <c:v>1.6251288711645925E-3</c:v>
                </c:pt>
                <c:pt idx="4">
                  <c:v>6.2286493356514105E-3</c:v>
                </c:pt>
                <c:pt idx="5">
                  <c:v>1.6936381685961673E-2</c:v>
                </c:pt>
                <c:pt idx="6">
                  <c:v>3.5198202364616217E-2</c:v>
                </c:pt>
                <c:pt idx="7">
                  <c:v>6.0009814205152126E-2</c:v>
                </c:pt>
                <c:pt idx="8">
                  <c:v>9.1331241108889946E-2</c:v>
                </c:pt>
                <c:pt idx="9">
                  <c:v>0.12912223857640667</c:v>
                </c:pt>
                <c:pt idx="10">
                  <c:v>0.17334229707041138</c:v>
                </c:pt>
                <c:pt idx="11">
                  <c:v>0.22395064540325524</c:v>
                </c:pt>
                <c:pt idx="12">
                  <c:v>0.28090625414857362</c:v>
                </c:pt>
                <c:pt idx="13">
                  <c:v>0.34416783907655196</c:v>
                </c:pt>
                <c:pt idx="14">
                  <c:v>0.4136938646123054</c:v>
                </c:pt>
                <c:pt idx="15">
                  <c:v>0.48944254731685805</c:v>
                </c:pt>
                <c:pt idx="16">
                  <c:v>0.57137185939020396</c:v>
                </c:pt>
                <c:pt idx="17">
                  <c:v>0.65943953219592699</c:v>
                </c:pt>
                <c:pt idx="18">
                  <c:v>0.75360305980685949</c:v>
                </c:pt>
                <c:pt idx="19">
                  <c:v>0.85381970257125006</c:v>
                </c:pt>
                <c:pt idx="20">
                  <c:v>0.96004649069890857</c:v>
                </c:pt>
                <c:pt idx="21">
                  <c:v>1.0722402278668013</c:v>
                </c:pt>
                <c:pt idx="22">
                  <c:v>1.1903574948435536</c:v>
                </c:pt>
                <c:pt idx="23">
                  <c:v>1.3143546531323307</c:v>
                </c:pt>
                <c:pt idx="24">
                  <c:v>1.4441878486315454</c:v>
                </c:pt>
                <c:pt idx="25">
                  <c:v>1.5798130153128633</c:v>
                </c:pt>
                <c:pt idx="26">
                  <c:v>1.7211858789159509</c:v>
                </c:pt>
                <c:pt idx="27">
                  <c:v>1.8682619606594195</c:v>
                </c:pt>
                <c:pt idx="28">
                  <c:v>2.0209965809674282</c:v>
                </c:pt>
                <c:pt idx="29">
                  <c:v>2.1793448632113797</c:v>
                </c:pt>
                <c:pt idx="30">
                  <c:v>2.3432617374661713</c:v>
                </c:pt>
                <c:pt idx="31">
                  <c:v>2.5127019442804372</c:v>
                </c:pt>
                <c:pt idx="32">
                  <c:v>2.6876202573203023</c:v>
                </c:pt>
                <c:pt idx="33">
                  <c:v>2.8679713068598205</c:v>
                </c:pt>
                <c:pt idx="34">
                  <c:v>3.0537093199372145</c:v>
                </c:pt>
                <c:pt idx="35">
                  <c:v>3.2447883483115039</c:v>
                </c:pt>
                <c:pt idx="36">
                  <c:v>3.4411622723416002</c:v>
                </c:pt>
                <c:pt idx="37">
                  <c:v>3.642784804874367</c:v>
                </c:pt>
                <c:pt idx="38">
                  <c:v>3.8496094951389783</c:v>
                </c:pt>
                <c:pt idx="39">
                  <c:v>4.0615897326473931</c:v>
                </c:pt>
                <c:pt idx="40">
                  <c:v>4.2786787511007862</c:v>
                </c:pt>
                <c:pt idx="41">
                  <c:v>4.5008296323016621</c:v>
                </c:pt>
                <c:pt idx="42">
                  <c:v>4.7279953100713801</c:v>
                </c:pt>
                <c:pt idx="43">
                  <c:v>4.9601285741727246</c:v>
                </c:pt>
                <c:pt idx="44">
                  <c:v>5.1971820742372561</c:v>
                </c:pt>
                <c:pt idx="45">
                  <c:v>5.4391083236969644</c:v>
                </c:pt>
                <c:pt idx="46">
                  <c:v>5.6858597037199221</c:v>
                </c:pt>
                <c:pt idx="47">
                  <c:v>5.9373884671494448</c:v>
                </c:pt>
                <c:pt idx="48">
                  <c:v>6.1936467424464219</c:v>
                </c:pt>
                <c:pt idx="49">
                  <c:v>6.454586537634257</c:v>
                </c:pt>
                <c:pt idx="50">
                  <c:v>6.7201597442461001</c:v>
                </c:pt>
                <c:pt idx="51">
                  <c:v>6.9904960298571641</c:v>
                </c:pt>
                <c:pt idx="52">
                  <c:v>7.2657390977807514</c:v>
                </c:pt>
                <c:pt idx="53">
                  <c:v>7.5458616404173009</c:v>
                </c:pt>
                <c:pt idx="54">
                  <c:v>7.8308361746841104</c:v>
                </c:pt>
                <c:pt idx="55">
                  <c:v>8.1206350439398864</c:v>
                </c:pt>
                <c:pt idx="56">
                  <c:v>8.415230419921933</c:v>
                </c:pt>
                <c:pt idx="57">
                  <c:v>8.7145943046957637</c:v>
                </c:pt>
                <c:pt idx="58">
                  <c:v>9.0186985326169324</c:v>
                </c:pt>
                <c:pt idx="59">
                  <c:v>9.3275147723048981</c:v>
                </c:pt>
                <c:pt idx="60">
                  <c:v>9.6410145286286646</c:v>
                </c:pt>
                <c:pt idx="61">
                  <c:v>9.9591691447040152</c:v>
                </c:pt>
                <c:pt idx="62">
                  <c:v>10.281949803902084</c:v>
                </c:pt>
                <c:pt idx="63">
                  <c:v>10.609327531869061</c:v>
                </c:pt>
                <c:pt idx="64">
                  <c:v>10.941273198556798</c:v>
                </c:pt>
                <c:pt idx="65">
                  <c:v>11.277757520264064</c:v>
                </c:pt>
                <c:pt idx="66">
                  <c:v>11.618751061688208</c:v>
                </c:pt>
                <c:pt idx="67">
                  <c:v>11.964224237987045</c:v>
                </c:pt>
                <c:pt idx="68">
                  <c:v>12.314147316850635</c:v>
                </c:pt>
                <c:pt idx="69">
                  <c:v>12.668490420582799</c:v>
                </c:pt>
                <c:pt idx="70">
                  <c:v>13.027223528192039</c:v>
                </c:pt>
                <c:pt idx="71">
                  <c:v>13.390316477491689</c:v>
                </c:pt>
                <c:pt idx="72">
                  <c:v>13.757738967208999</c:v>
                </c:pt>
                <c:pt idx="73">
                  <c:v>14.129460559102899</c:v>
                </c:pt>
                <c:pt idx="74">
                  <c:v>14.505450680090251</c:v>
                </c:pt>
                <c:pt idx="75">
                  <c:v>14.885678624380244</c:v>
                </c:pt>
                <c:pt idx="76">
                  <c:v>15.270113555616671</c:v>
                </c:pt>
                <c:pt idx="77">
                  <c:v>15.658724509028001</c:v>
                </c:pt>
                <c:pt idx="78">
                  <c:v>16.051480393584711</c:v>
                </c:pt>
                <c:pt idx="79">
                  <c:v>16.448349994163873</c:v>
                </c:pt>
                <c:pt idx="80">
                  <c:v>16.849301973720564</c:v>
                </c:pt>
                <c:pt idx="81">
                  <c:v>17.254304875465916</c:v>
                </c:pt>
                <c:pt idx="82">
                  <c:v>17.663327125051545</c:v>
                </c:pt>
                <c:pt idx="83">
                  <c:v>18.076337032759962</c:v>
                </c:pt>
                <c:pt idx="84">
                  <c:v>18.493302795701027</c:v>
                </c:pt>
                <c:pt idx="85">
                  <c:v>18.914192500013701</c:v>
                </c:pt>
                <c:pt idx="86">
                  <c:v>19.338974123073292</c:v>
                </c:pt>
                <c:pt idx="87">
                  <c:v>19.767615535703641</c:v>
                </c:pt>
                <c:pt idx="88">
                  <c:v>20.200084504394034</c:v>
                </c:pt>
                <c:pt idx="89">
                  <c:v>20.636348693520699</c:v>
                </c:pt>
                <c:pt idx="90">
                  <c:v>21.076375667572464</c:v>
                </c:pt>
                <c:pt idx="91">
                  <c:v>21.52013289338036</c:v>
                </c:pt>
                <c:pt idx="92">
                  <c:v>21.96758774235095</c:v>
                </c:pt>
                <c:pt idx="93">
                  <c:v>22.418707492703035</c:v>
                </c:pt>
                <c:pt idx="94">
                  <c:v>22.87345933170754</c:v>
                </c:pt>
                <c:pt idx="95">
                  <c:v>23.331810357930294</c:v>
                </c:pt>
                <c:pt idx="96">
                  <c:v>23.793727583477342</c:v>
                </c:pt>
                <c:pt idx="97">
                  <c:v>24.259177936242729</c:v>
                </c:pt>
                <c:pt idx="98">
                  <c:v>24.728128262158222</c:v>
                </c:pt>
                <c:pt idx="99">
                  <c:v>25.200545327445003</c:v>
                </c:pt>
                <c:pt idx="100">
                  <c:v>25.676395820866706</c:v>
                </c:pt>
                <c:pt idx="101">
                  <c:v>26.15548743795884</c:v>
                </c:pt>
                <c:pt idx="102">
                  <c:v>26.637621811194375</c:v>
                </c:pt>
                <c:pt idx="103">
                  <c:v>27.122756525359556</c:v>
                </c:pt>
                <c:pt idx="104">
                  <c:v>27.610849145590787</c:v>
                </c:pt>
                <c:pt idx="105">
                  <c:v>28.101857220354411</c:v>
                </c:pt>
                <c:pt idx="106">
                  <c:v>28.595738284418147</c:v>
                </c:pt>
                <c:pt idx="107">
                  <c:v>29.092449861814274</c:v>
                </c:pt>
                <c:pt idx="108">
                  <c:v>29.591949468793775</c:v>
                </c:pt>
                <c:pt idx="109">
                  <c:v>30.094194616771393</c:v>
                </c:pt>
                <c:pt idx="110">
                  <c:v>30.599142815261185</c:v>
                </c:pt>
                <c:pt idx="111">
                  <c:v>31.106751574802175</c:v>
                </c:pt>
                <c:pt idx="112">
                  <c:v>31.616978409873894</c:v>
                </c:pt>
                <c:pt idx="113">
                  <c:v>32.129780841801306</c:v>
                </c:pt>
                <c:pt idx="114">
                  <c:v>32.645116401649013</c:v>
                </c:pt>
                <c:pt idx="115">
                  <c:v>33.162942633104251</c:v>
                </c:pt>
                <c:pt idx="116">
                  <c:v>33.683217095348382</c:v>
                </c:pt>
                <c:pt idx="117">
                  <c:v>34.205897365916627</c:v>
                </c:pt>
                <c:pt idx="118">
                  <c:v>34.730941043545727</c:v>
                </c:pt>
                <c:pt idx="119">
                  <c:v>35.258305751009196</c:v>
                </c:pt>
                <c:pt idx="120">
                  <c:v>35.787949137939727</c:v>
                </c:pt>
                <c:pt idx="121">
                  <c:v>36.319828883638721</c:v>
                </c:pt>
                <c:pt idx="122">
                  <c:v>36.853902699872528</c:v>
                </c:pt>
                <c:pt idx="123">
                  <c:v>37.390128333654935</c:v>
                </c:pt>
                <c:pt idx="124">
                  <c:v>37.928463570015808</c:v>
                </c:pt>
                <c:pt idx="125">
                  <c:v>38.468866234755616</c:v>
                </c:pt>
                <c:pt idx="126">
                  <c:v>39.011294197185471</c:v>
                </c:pt>
                <c:pt idx="127">
                  <c:v>39.55570537285228</c:v>
                </c:pt>
                <c:pt idx="128">
                  <c:v>40.102057726249051</c:v>
                </c:pt>
                <c:pt idx="129">
                  <c:v>40.65030927350977</c:v>
                </c:pt>
                <c:pt idx="130">
                  <c:v>41.200418085088771</c:v>
                </c:pt>
                <c:pt idx="131">
                  <c:v>41.752342288424288</c:v>
                </c:pt>
                <c:pt idx="132">
                  <c:v>42.306040070585894</c:v>
                </c:pt>
                <c:pt idx="133">
                  <c:v>42.86146968090555</c:v>
                </c:pt>
                <c:pt idx="134">
                  <c:v>43.418589433592103</c:v>
                </c:pt>
                <c:pt idx="135">
                  <c:v>43.977357710328967</c:v>
                </c:pt>
                <c:pt idx="136">
                  <c:v>44.537732962854641</c:v>
                </c:pt>
                <c:pt idx="137">
                  <c:v>45.099673715525888</c:v>
                </c:pt>
                <c:pt idx="138">
                  <c:v>45.663138567863427</c:v>
                </c:pt>
                <c:pt idx="139">
                  <c:v>46.22808619707979</c:v>
                </c:pt>
                <c:pt idx="140">
                  <c:v>46.794475360589061</c:v>
                </c:pt>
                <c:pt idx="141">
                  <c:v>47.362264898498502</c:v>
                </c:pt>
                <c:pt idx="142">
                  <c:v>47.931413736081666</c:v>
                </c:pt>
                <c:pt idx="143">
                  <c:v>48.501880886232641</c:v>
                </c:pt>
                <c:pt idx="144">
                  <c:v>49.07362545190179</c:v>
                </c:pt>
                <c:pt idx="145">
                  <c:v>49.646606628511982</c:v>
                </c:pt>
                <c:pt idx="146">
                  <c:v>50.220783706355668</c:v>
                </c:pt>
                <c:pt idx="147">
                  <c:v>50.796116072972637</c:v>
                </c:pt>
                <c:pt idx="148">
                  <c:v>51.372563215507697</c:v>
                </c:pt>
                <c:pt idx="149">
                  <c:v>51.950084723048782</c:v>
                </c:pt>
                <c:pt idx="150">
                  <c:v>52.528640288944921</c:v>
                </c:pt>
                <c:pt idx="151">
                  <c:v>53.108266781174962</c:v>
                </c:pt>
                <c:pt idx="152">
                  <c:v>53.689002882872543</c:v>
                </c:pt>
                <c:pt idx="153">
                  <c:v>54.270811110126047</c:v>
                </c:pt>
                <c:pt idx="154">
                  <c:v>54.853654069023079</c:v>
                </c:pt>
                <c:pt idx="155">
                  <c:v>55.437494457720817</c:v>
                </c:pt>
                <c:pt idx="156">
                  <c:v>56.022295068498295</c:v>
                </c:pt>
                <c:pt idx="157">
                  <c:v>56.60801878979138</c:v>
                </c:pt>
                <c:pt idx="158">
                  <c:v>57.194628608209726</c:v>
                </c:pt>
                <c:pt idx="159">
                  <c:v>57.782087610535562</c:v>
                </c:pt>
                <c:pt idx="160">
                  <c:v>58.37035898570435</c:v>
                </c:pt>
                <c:pt idx="161">
                  <c:v>58.959406026767397</c:v>
                </c:pt>
                <c:pt idx="162">
                  <c:v>59.549192132835614</c:v>
                </c:pt>
                <c:pt idx="163">
                  <c:v>60.139680811004929</c:v>
                </c:pt>
                <c:pt idx="164">
                  <c:v>60.730835678263084</c:v>
                </c:pt>
                <c:pt idx="165">
                  <c:v>61.322620463377113</c:v>
                </c:pt>
                <c:pt idx="166">
                  <c:v>61.914999008762607</c:v>
                </c:pt>
                <c:pt idx="167">
                  <c:v>62.50793527233332</c:v>
                </c:pt>
                <c:pt idx="168">
                  <c:v>63.101393329331799</c:v>
                </c:pt>
                <c:pt idx="169">
                  <c:v>63.695337374140621</c:v>
                </c:pt>
                <c:pt idx="170">
                  <c:v>64.28973172207462</c:v>
                </c:pt>
                <c:pt idx="171">
                  <c:v>64.884540811152931</c:v>
                </c:pt>
                <c:pt idx="172">
                  <c:v>65.479729203852145</c:v>
                </c:pt>
                <c:pt idx="173">
                  <c:v>66.075261588839197</c:v>
                </c:pt>
                <c:pt idx="174">
                  <c:v>66.671102782684926</c:v>
                </c:pt>
                <c:pt idx="175">
                  <c:v>67.267217731557494</c:v>
                </c:pt>
                <c:pt idx="176">
                  <c:v>67.863571512895803</c:v>
                </c:pt>
                <c:pt idx="177">
                  <c:v>68.460129337063123</c:v>
                </c:pt>
                <c:pt idx="178">
                  <c:v>69.05685654898052</c:v>
                </c:pt>
                <c:pt idx="179">
                  <c:v>69.653718629739899</c:v>
                </c:pt>
                <c:pt idx="180">
                  <c:v>70.250681198197071</c:v>
                </c:pt>
                <c:pt idx="181">
                  <c:v>70.847710012544368</c:v>
                </c:pt>
                <c:pt idx="182">
                  <c:v>71.44477097186288</c:v>
                </c:pt>
                <c:pt idx="183">
                  <c:v>72.041830117654357</c:v>
                </c:pt>
                <c:pt idx="184">
                  <c:v>72.638853635352206</c:v>
                </c:pt>
                <c:pt idx="185">
                  <c:v>73.235807855812695</c:v>
                </c:pt>
                <c:pt idx="186">
                  <c:v>73.832659256784993</c:v>
                </c:pt>
                <c:pt idx="187">
                  <c:v>74.429374464360421</c:v>
                </c:pt>
                <c:pt idx="188">
                  <c:v>75.025920254401854</c:v>
                </c:pt>
                <c:pt idx="189">
                  <c:v>75.622263553951271</c:v>
                </c:pt>
                <c:pt idx="190">
                  <c:v>76.218371442617638</c:v>
                </c:pt>
                <c:pt idx="191">
                  <c:v>76.814211153943305</c:v>
                </c:pt>
                <c:pt idx="192">
                  <c:v>77.40975007674966</c:v>
                </c:pt>
                <c:pt idx="193">
                  <c:v>78.004955756462465</c:v>
                </c:pt>
                <c:pt idx="194">
                  <c:v>78.599795896415614</c:v>
                </c:pt>
                <c:pt idx="195">
                  <c:v>79.194238359134573</c:v>
                </c:pt>
                <c:pt idx="196">
                  <c:v>79.788251167598773</c:v>
                </c:pt>
                <c:pt idx="197">
                  <c:v>80.381802506482757</c:v>
                </c:pt>
                <c:pt idx="198">
                  <c:v>80.974860723377148</c:v>
                </c:pt>
                <c:pt idx="199">
                  <c:v>81.567394329988019</c:v>
                </c:pt>
                <c:pt idx="200">
                  <c:v>82.159372003315681</c:v>
                </c:pt>
                <c:pt idx="201">
                  <c:v>82.750762586812542</c:v>
                </c:pt>
                <c:pt idx="202">
                  <c:v>83.341535091520072</c:v>
                </c:pt>
                <c:pt idx="203">
                  <c:v>83.931658697184702</c:v>
                </c:pt>
                <c:pt idx="204">
                  <c:v>84.521102753352977</c:v>
                </c:pt>
                <c:pt idx="205">
                  <c:v>85.109836780445974</c:v>
                </c:pt>
                <c:pt idx="206">
                  <c:v>85.697830470812605</c:v>
                </c:pt>
                <c:pt idx="207">
                  <c:v>86.285053689762137</c:v>
                </c:pt>
                <c:pt idx="208">
                  <c:v>86.871476476576206</c:v>
                </c:pt>
                <c:pt idx="209">
                  <c:v>87.457069045499622</c:v>
                </c:pt>
                <c:pt idx="210">
                  <c:v>88.041801786710494</c:v>
                </c:pt>
                <c:pt idx="211">
                  <c:v>88.625645267270173</c:v>
                </c:pt>
                <c:pt idx="212">
                  <c:v>89.208570232051628</c:v>
                </c:pt>
                <c:pt idx="213">
                  <c:v>89.790547604647898</c:v>
                </c:pt>
                <c:pt idx="214">
                  <c:v>90.371548488259734</c:v>
                </c:pt>
                <c:pt idx="215">
                  <c:v>90.951544166562272</c:v>
                </c:pt>
                <c:pt idx="216">
                  <c:v>91.530506104551932</c:v>
                </c:pt>
                <c:pt idx="217">
                  <c:v>92.108405949372241</c:v>
                </c:pt>
                <c:pt idx="218">
                  <c:v>92.685215531119482</c:v>
                </c:pt>
                <c:pt idx="219">
                  <c:v>93.260906863627895</c:v>
                </c:pt>
                <c:pt idx="220">
                  <c:v>93.83545214523464</c:v>
                </c:pt>
                <c:pt idx="221">
                  <c:v>94.408823759524637</c:v>
                </c:pt>
                <c:pt idx="222">
                  <c:v>94.980994276054929</c:v>
                </c:pt>
                <c:pt idx="223">
                  <c:v>95.551936451059049</c:v>
                </c:pt>
                <c:pt idx="224">
                  <c:v>96.121623228131426</c:v>
                </c:pt>
                <c:pt idx="225">
                  <c:v>96.690027738891771</c:v>
                </c:pt>
                <c:pt idx="226">
                  <c:v>97.257123303629342</c:v>
                </c:pt>
                <c:pt idx="227">
                  <c:v>97.822883431927778</c:v>
                </c:pt>
                <c:pt idx="228">
                  <c:v>98.387281823269831</c:v>
                </c:pt>
                <c:pt idx="229">
                  <c:v>98.950292367622311</c:v>
                </c:pt>
                <c:pt idx="230">
                  <c:v>99.511889146001977</c:v>
                </c:pt>
                <c:pt idx="231">
                  <c:v>100.07204643102135</c:v>
                </c:pt>
                <c:pt idx="232">
                  <c:v>100.63073868741532</c:v>
                </c:pt>
                <c:pt idx="233">
                  <c:v>101.18794057254854</c:v>
                </c:pt>
                <c:pt idx="234">
                  <c:v>101.74362693690297</c:v>
                </c:pt>
                <c:pt idx="235">
                  <c:v>102.29777282454731</c:v>
                </c:pt>
                <c:pt idx="236">
                  <c:v>102.85035347358622</c:v>
                </c:pt>
                <c:pt idx="237">
                  <c:v>103.4013443165915</c:v>
                </c:pt>
                <c:pt idx="238">
                  <c:v>103.95072098101353</c:v>
                </c:pt>
                <c:pt idx="239">
                  <c:v>104.49845928957474</c:v>
                </c:pt>
                <c:pt idx="240">
                  <c:v>105.04453526064393</c:v>
                </c:pt>
                <c:pt idx="241">
                  <c:v>105.58892510859185</c:v>
                </c:pt>
                <c:pt idx="242">
                  <c:v>106.13160524412903</c:v>
                </c:pt>
                <c:pt idx="243">
                  <c:v>106.67255227462449</c:v>
                </c:pt>
                <c:pt idx="244">
                  <c:v>107.21174300440654</c:v>
                </c:pt>
                <c:pt idx="245">
                  <c:v>107.74915443504537</c:v>
                </c:pt>
                <c:pt idx="246">
                  <c:v>108.28476376561794</c:v>
                </c:pt>
                <c:pt idx="247">
                  <c:v>108.81854839295394</c:v>
                </c:pt>
                <c:pt idx="248">
                  <c:v>109.35048591186542</c:v>
                </c:pt>
                <c:pt idx="249">
                  <c:v>109.88055411535748</c:v>
                </c:pt>
                <c:pt idx="250">
                  <c:v>110.40873099482208</c:v>
                </c:pt>
                <c:pt idx="251">
                  <c:v>110.93451587968337</c:v>
                </c:pt>
                <c:pt idx="252">
                  <c:v>111.45740414147194</c:v>
                </c:pt>
                <c:pt idx="253">
                  <c:v>111.97736865934895</c:v>
                </c:pt>
                <c:pt idx="254">
                  <c:v>112.49438263522113</c:v>
                </c:pt>
                <c:pt idx="255">
                  <c:v>113.00841959361203</c:v>
                </c:pt>
                <c:pt idx="256">
                  <c:v>113.51945338150456</c:v>
                </c:pt>
                <c:pt idx="257">
                  <c:v>114.02745816815492</c:v>
                </c:pt>
                <c:pt idx="258">
                  <c:v>114.5324084448779</c:v>
                </c:pt>
                <c:pt idx="259">
                  <c:v>115.0342790248048</c:v>
                </c:pt>
                <c:pt idx="260">
                  <c:v>115.53304504261249</c:v>
                </c:pt>
                <c:pt idx="261">
                  <c:v>116.0286819542263</c:v>
                </c:pt>
                <c:pt idx="262">
                  <c:v>116.52116553649451</c:v>
                </c:pt>
                <c:pt idx="263">
                  <c:v>117.01047188683712</c:v>
                </c:pt>
                <c:pt idx="264">
                  <c:v>117.49657742286708</c:v>
                </c:pt>
                <c:pt idx="265">
                  <c:v>117.97945888198588</c:v>
                </c:pt>
                <c:pt idx="266">
                  <c:v>118.45909332095289</c:v>
                </c:pt>
                <c:pt idx="267">
                  <c:v>118.93545811542903</c:v>
                </c:pt>
                <c:pt idx="268">
                  <c:v>119.40853095949545</c:v>
                </c:pt>
                <c:pt idx="269">
                  <c:v>119.8782898651464</c:v>
                </c:pt>
                <c:pt idx="270">
                  <c:v>120.34471316175832</c:v>
                </c:pt>
                <c:pt idx="271">
                  <c:v>120.80777949553358</c:v>
                </c:pt>
                <c:pt idx="272">
                  <c:v>121.26746782892072</c:v>
                </c:pt>
                <c:pt idx="273">
                  <c:v>121.72375744001064</c:v>
                </c:pt>
                <c:pt idx="274">
                  <c:v>122.17662792190917</c:v>
                </c:pt>
                <c:pt idx="275">
                  <c:v>122.62605918208646</c:v>
                </c:pt>
                <c:pt idx="276">
                  <c:v>123.07203144170398</c:v>
                </c:pt>
                <c:pt idx="277">
                  <c:v>123.51452523491812</c:v>
                </c:pt>
                <c:pt idx="278">
                  <c:v>123.95352140816206</c:v>
                </c:pt>
                <c:pt idx="279">
                  <c:v>124.38900111940551</c:v>
                </c:pt>
                <c:pt idx="280">
                  <c:v>124.82094583739287</c:v>
                </c:pt>
                <c:pt idx="281">
                  <c:v>125.24933734086001</c:v>
                </c:pt>
                <c:pt idx="282">
                  <c:v>125.67415771773017</c:v>
                </c:pt>
                <c:pt idx="283">
                  <c:v>126.09538936428891</c:v>
                </c:pt>
                <c:pt idx="284">
                  <c:v>126.51301498433877</c:v>
                </c:pt>
                <c:pt idx="285">
                  <c:v>126.92701758833383</c:v>
                </c:pt>
                <c:pt idx="286">
                  <c:v>127.33738049249483</c:v>
                </c:pt>
                <c:pt idx="287">
                  <c:v>127.74408731790417</c:v>
                </c:pt>
                <c:pt idx="288">
                  <c:v>128.14712198958239</c:v>
                </c:pt>
                <c:pt idx="289">
                  <c:v>128.54646873554532</c:v>
                </c:pt>
                <c:pt idx="290">
                  <c:v>128.94211208584346</c:v>
                </c:pt>
                <c:pt idx="291">
                  <c:v>129.3340368715819</c:v>
                </c:pt>
                <c:pt idx="292">
                  <c:v>129.72222822392388</c:v>
                </c:pt>
                <c:pt idx="293">
                  <c:v>130.10667157307537</c:v>
                </c:pt>
                <c:pt idx="294">
                  <c:v>130.4873526472534</c:v>
                </c:pt>
                <c:pt idx="295">
                  <c:v>130.86425747163671</c:v>
                </c:pt>
                <c:pt idx="296">
                  <c:v>131.23737236730005</c:v>
                </c:pt>
                <c:pt idx="297">
                  <c:v>131.60668395013244</c:v>
                </c:pt>
                <c:pt idx="298">
                  <c:v>131.96646432790916</c:v>
                </c:pt>
                <c:pt idx="299">
                  <c:v>132.31096252805403</c:v>
                </c:pt>
                <c:pt idx="300">
                  <c:v>132.64013899330908</c:v>
                </c:pt>
                <c:pt idx="301">
                  <c:v>132.95395747498463</c:v>
                </c:pt>
                <c:pt idx="302">
                  <c:v>133.25238501455044</c:v>
                </c:pt>
                <c:pt idx="303">
                  <c:v>133.53539192486798</c:v>
                </c:pt>
                <c:pt idx="304">
                  <c:v>133.80295177107527</c:v>
                </c:pt>
                <c:pt idx="305">
                  <c:v>134.05504135113773</c:v>
                </c:pt>
                <c:pt idx="306">
                  <c:v>134.29164067607354</c:v>
                </c:pt>
                <c:pt idx="307">
                  <c:v>134.51273294986896</c:v>
                </c:pt>
                <c:pt idx="308">
                  <c:v>134.71830454909238</c:v>
                </c:pt>
                <c:pt idx="309">
                  <c:v>134.90834500221973</c:v>
                </c:pt>
                <c:pt idx="310">
                  <c:v>135.0828469686825</c:v>
                </c:pt>
                <c:pt idx="311">
                  <c:v>135.24180621764998</c:v>
                </c:pt>
                <c:pt idx="312">
                  <c:v>135.38522160655654</c:v>
                </c:pt>
                <c:pt idx="313">
                  <c:v>135.51309505938588</c:v>
                </c:pt>
                <c:pt idx="314">
                  <c:v>135.62543154472269</c:v>
                </c:pt>
                <c:pt idx="315">
                  <c:v>135.72223905358237</c:v>
                </c:pt>
                <c:pt idx="316">
                  <c:v>135.80352857703184</c:v>
                </c:pt>
                <c:pt idx="317">
                  <c:v>135.86931408360928</c:v>
                </c:pt>
                <c:pt idx="318">
                  <c:v>135.91961249655648</c:v>
                </c:pt>
                <c:pt idx="319">
                  <c:v>135.95444367087219</c:v>
                </c:pt>
                <c:pt idx="320">
                  <c:v>135.97383037019782</c:v>
                </c:pt>
                <c:pt idx="321">
                  <c:v>135.98010069299619</c:v>
                </c:pt>
                <c:pt idx="322">
                  <c:v>135.9755810320151</c:v>
                </c:pt>
                <c:pt idx="323">
                  <c:v>135.96029243790019</c:v>
                </c:pt>
                <c:pt idx="324">
                  <c:v>135.93425733539087</c:v>
                </c:pt>
                <c:pt idx="325">
                  <c:v>135.89749951173707</c:v>
                </c:pt>
                <c:pt idx="326">
                  <c:v>135.85004410509819</c:v>
                </c:pt>
                <c:pt idx="327">
                  <c:v>135.7919175929255</c:v>
                </c:pt>
                <c:pt idx="328">
                  <c:v>135.72314778033225</c:v>
                </c:pt>
                <c:pt idx="329">
                  <c:v>135.64376378845444</c:v>
                </c:pt>
                <c:pt idx="330">
                  <c:v>135.55379604280586</c:v>
                </c:pt>
                <c:pt idx="331">
                  <c:v>135.45327626162924</c:v>
                </c:pt>
                <c:pt idx="332">
                  <c:v>135.34223744424818</c:v>
                </c:pt>
                <c:pt idx="333">
                  <c:v>135.22071385942149</c:v>
                </c:pt>
                <c:pt idx="334">
                  <c:v>135.08874103370408</c:v>
                </c:pt>
                <c:pt idx="335">
                  <c:v>134.94635573981611</c:v>
                </c:pt>
                <c:pt idx="336">
                  <c:v>134.7935959850241</c:v>
                </c:pt>
                <c:pt idx="337">
                  <c:v>134.63050099953682</c:v>
                </c:pt>
                <c:pt idx="338">
                  <c:v>134.45711122491835</c:v>
                </c:pt>
                <c:pt idx="339">
                  <c:v>134.2734683025212</c:v>
                </c:pt>
                <c:pt idx="340">
                  <c:v>134.07961506194218</c:v>
                </c:pt>
                <c:pt idx="341">
                  <c:v>133.87559550950382</c:v>
                </c:pt>
                <c:pt idx="342">
                  <c:v>133.66145481676378</c:v>
                </c:pt>
                <c:pt idx="343">
                  <c:v>133.43723930905446</c:v>
                </c:pt>
                <c:pt idx="344">
                  <c:v>133.2029964540564</c:v>
                </c:pt>
                <c:pt idx="345">
                  <c:v>132.95877485040648</c:v>
                </c:pt>
                <c:pt idx="346">
                  <c:v>132.70462421634446</c:v>
                </c:pt>
                <c:pt idx="347">
                  <c:v>132.44059537839991</c:v>
                </c:pt>
                <c:pt idx="348">
                  <c:v>132.16698441036201</c:v>
                </c:pt>
                <c:pt idx="349">
                  <c:v>131.88408686802856</c:v>
                </c:pt>
                <c:pt idx="350">
                  <c:v>131.59195409988513</c:v>
                </c:pt>
                <c:pt idx="351">
                  <c:v>131.29063840871149</c:v>
                </c:pt>
                <c:pt idx="352">
                  <c:v>130.98019304161073</c:v>
                </c:pt>
                <c:pt idx="353">
                  <c:v>130.6606721800911</c:v>
                </c:pt>
                <c:pt idx="354">
                  <c:v>130.3321309301989</c:v>
                </c:pt>
                <c:pt idx="355">
                  <c:v>129.99462531270731</c:v>
                </c:pt>
                <c:pt idx="356">
                  <c:v>129.64821225336112</c:v>
                </c:pt>
                <c:pt idx="357">
                  <c:v>129.29294957317887</c:v>
                </c:pt>
                <c:pt idx="358">
                  <c:v>128.92889597881495</c:v>
                </c:pt>
                <c:pt idx="359">
                  <c:v>128.55611105298235</c:v>
                </c:pt>
                <c:pt idx="360">
                  <c:v>128.17964940599222</c:v>
                </c:pt>
                <c:pt idx="361">
                  <c:v>127.8045246048713</c:v>
                </c:pt>
                <c:pt idx="362">
                  <c:v>127.43073036435578</c:v>
                </c:pt>
                <c:pt idx="363">
                  <c:v>127.05826043651375</c:v>
                </c:pt>
                <c:pt idx="364">
                  <c:v>126.6871086104787</c:v>
                </c:pt>
                <c:pt idx="365">
                  <c:v>126.31726871218443</c:v>
                </c:pt>
                <c:pt idx="366">
                  <c:v>125.94873460410304</c:v>
                </c:pt>
                <c:pt idx="367">
                  <c:v>125.58150018498455</c:v>
                </c:pt>
                <c:pt idx="368">
                  <c:v>125.21555938959909</c:v>
                </c:pt>
                <c:pt idx="369">
                  <c:v>124.85090618848071</c:v>
                </c:pt>
                <c:pt idx="370">
                  <c:v>124.48753458767379</c:v>
                </c:pt>
                <c:pt idx="371">
                  <c:v>124.12543862848152</c:v>
                </c:pt>
                <c:pt idx="372">
                  <c:v>123.76461238721606</c:v>
                </c:pt>
                <c:pt idx="373">
                  <c:v>123.40504997495131</c:v>
                </c:pt>
                <c:pt idx="374">
                  <c:v>123.04674553727733</c:v>
                </c:pt>
                <c:pt idx="375">
                  <c:v>122.68969325405666</c:v>
                </c:pt>
                <c:pt idx="376">
                  <c:v>122.33388733918358</c:v>
                </c:pt>
                <c:pt idx="377">
                  <c:v>121.979322040344</c:v>
                </c:pt>
                <c:pt idx="378">
                  <c:v>121.62599163877833</c:v>
                </c:pt>
                <c:pt idx="379">
                  <c:v>121.27389044904589</c:v>
                </c:pt>
                <c:pt idx="380">
                  <c:v>120.92301281879148</c:v>
                </c:pt>
                <c:pt idx="381">
                  <c:v>120.57335312851343</c:v>
                </c:pt>
                <c:pt idx="382">
                  <c:v>120.22490579133417</c:v>
                </c:pt>
                <c:pt idx="383">
                  <c:v>119.87766525277202</c:v>
                </c:pt>
                <c:pt idx="384">
                  <c:v>119.53162599051554</c:v>
                </c:pt>
                <c:pt idx="385">
                  <c:v>119.18678251419904</c:v>
                </c:pt>
                <c:pt idx="386">
                  <c:v>118.8431293651802</c:v>
                </c:pt>
                <c:pt idx="387">
                  <c:v>118.5006611163201</c:v>
                </c:pt>
                <c:pt idx="388">
                  <c:v>118.15937237176365</c:v>
                </c:pt>
                <c:pt idx="389">
                  <c:v>117.8192577667232</c:v>
                </c:pt>
                <c:pt idx="390">
                  <c:v>117.48031196726315</c:v>
                </c:pt>
                <c:pt idx="391">
                  <c:v>117.14252967008632</c:v>
                </c:pt>
                <c:pt idx="392">
                  <c:v>116.80590560232264</c:v>
                </c:pt>
                <c:pt idx="393">
                  <c:v>116.47043452131864</c:v>
                </c:pt>
                <c:pt idx="394">
                  <c:v>116.13611121442956</c:v>
                </c:pt>
                <c:pt idx="395">
                  <c:v>115.8029304988123</c:v>
                </c:pt>
                <c:pt idx="396">
                  <c:v>115.47088722122064</c:v>
                </c:pt>
                <c:pt idx="397">
                  <c:v>115.13997625780199</c:v>
                </c:pt>
                <c:pt idx="398">
                  <c:v>114.81019251389534</c:v>
                </c:pt>
                <c:pt idx="399">
                  <c:v>114.48153092383174</c:v>
                </c:pt>
                <c:pt idx="400">
                  <c:v>114.15398645073523</c:v>
                </c:pt>
                <c:pt idx="401">
                  <c:v>110.91479356860411</c:v>
                </c:pt>
                <c:pt idx="402">
                  <c:v>107.78390953792471</c:v>
                </c:pt>
                <c:pt idx="403">
                  <c:v>104.75660001296504</c:v>
                </c:pt>
                <c:pt idx="404">
                  <c:v>101.82839029098763</c:v>
                </c:pt>
                <c:pt idx="405">
                  <c:v>98.99504833205269</c:v>
                </c:pt>
                <c:pt idx="406">
                  <c:v>96.252569066353729</c:v>
                </c:pt>
                <c:pt idx="407">
                  <c:v>93.597159878352485</c:v>
                </c:pt>
                <c:pt idx="408">
                  <c:v>91.025227167605351</c:v>
                </c:pt>
                <c:pt idx="409">
                  <c:v>88.533363895680694</c:v>
                </c:pt>
                <c:pt idx="410">
                  <c:v>86.11833803707556</c:v>
                </c:pt>
                <c:pt idx="411">
                  <c:v>83.777081859668414</c:v>
                </c:pt>
                <c:pt idx="412">
                  <c:v>81.50668196709421</c:v>
                </c:pt>
                <c:pt idx="413">
                  <c:v>79.3043700415801</c:v>
                </c:pt>
                <c:pt idx="414">
                  <c:v>77.167514231318194</c:v>
                </c:pt>
                <c:pt idx="415">
                  <c:v>75.093611131436035</c:v>
                </c:pt>
                <c:pt idx="416">
                  <c:v>73.080278312124619</c:v>
                </c:pt>
                <c:pt idx="417">
                  <c:v>71.1252473515394</c:v>
                </c:pt>
                <c:pt idx="418">
                  <c:v>69.226357334760706</c:v>
                </c:pt>
                <c:pt idx="419">
                  <c:v>67.381548783413763</c:v>
                </c:pt>
                <c:pt idx="420">
                  <c:v>65.588857983556579</c:v>
                </c:pt>
                <c:pt idx="421">
                  <c:v>63.846411682162831</c:v>
                </c:pt>
                <c:pt idx="422">
                  <c:v>62.152422125000726</c:v>
                </c:pt>
                <c:pt idx="423">
                  <c:v>60.505182410949658</c:v>
                </c:pt>
                <c:pt idx="424">
                  <c:v>58.903062139837544</c:v>
                </c:pt>
                <c:pt idx="425">
                  <c:v>57.344503332736096</c:v>
                </c:pt>
                <c:pt idx="426">
                  <c:v>55.828016605341531</c:v>
                </c:pt>
                <c:pt idx="427">
                  <c:v>54.352177576608121</c:v>
                </c:pt>
                <c:pt idx="428">
                  <c:v>52.915623496207168</c:v>
                </c:pt>
                <c:pt idx="429">
                  <c:v>51.517050075666766</c:v>
                </c:pt>
                <c:pt idx="430">
                  <c:v>50.155208509219371</c:v>
                </c:pt>
                <c:pt idx="431">
                  <c:v>48.828902671457385</c:v>
                </c:pt>
                <c:pt idx="432">
                  <c:v>47.536986479877577</c:v>
                </c:pt>
                <c:pt idx="433">
                  <c:v>46.278361411293503</c:v>
                </c:pt>
                <c:pt idx="434">
                  <c:v>45.051974161920946</c:v>
                </c:pt>
                <c:pt idx="435">
                  <c:v>43.856814441694759</c:v>
                </c:pt>
                <c:pt idx="436">
                  <c:v>42.691912894072487</c:v>
                </c:pt>
                <c:pt idx="437">
                  <c:v>41.556339133215587</c:v>
                </c:pt>
                <c:pt idx="438">
                  <c:v>40.449199891026687</c:v>
                </c:pt>
                <c:pt idx="439">
                  <c:v>39.369637267060625</c:v>
                </c:pt>
                <c:pt idx="440">
                  <c:v>38.316827074823706</c:v>
                </c:pt>
                <c:pt idx="441">
                  <c:v>37.289977278433653</c:v>
                </c:pt>
                <c:pt idx="442">
                  <c:v>36.288326514034679</c:v>
                </c:pt>
                <c:pt idx="443">
                  <c:v>35.311142690751282</c:v>
                </c:pt>
                <c:pt idx="444">
                  <c:v>34.357721666324672</c:v>
                </c:pt>
                <c:pt idx="445">
                  <c:v>33.427385992907084</c:v>
                </c:pt>
                <c:pt idx="446">
                  <c:v>32.519483728796978</c:v>
                </c:pt>
                <c:pt idx="447">
                  <c:v>31.633387312181778</c:v>
                </c:pt>
                <c:pt idx="448">
                  <c:v>30.768492493217902</c:v>
                </c:pt>
                <c:pt idx="449">
                  <c:v>29.924217321021413</c:v>
                </c:pt>
                <c:pt idx="450">
                  <c:v>29.100001182368235</c:v>
                </c:pt>
                <c:pt idx="451">
                  <c:v>28.295303889111867</c:v>
                </c:pt>
                <c:pt idx="452">
                  <c:v>27.509604811521317</c:v>
                </c:pt>
                <c:pt idx="453">
                  <c:v>26.742402054921424</c:v>
                </c:pt>
                <c:pt idx="454">
                  <c:v>25.99321167718578</c:v>
                </c:pt>
                <c:pt idx="455">
                  <c:v>25.261566944787628</c:v>
                </c:pt>
                <c:pt idx="456">
                  <c:v>24.54701762525902</c:v>
                </c:pt>
                <c:pt idx="457">
                  <c:v>23.84912931404304</c:v>
                </c:pt>
                <c:pt idx="458">
                  <c:v>23.167482793848954</c:v>
                </c:pt>
                <c:pt idx="459">
                  <c:v>22.501673424737426</c:v>
                </c:pt>
                <c:pt idx="460">
                  <c:v>21.851310563270928</c:v>
                </c:pt>
                <c:pt idx="461">
                  <c:v>21.216017009166308</c:v>
                </c:pt>
                <c:pt idx="462">
                  <c:v>20.595428477981127</c:v>
                </c:pt>
                <c:pt idx="463">
                  <c:v>19.989193098453089</c:v>
                </c:pt>
                <c:pt idx="464">
                  <c:v>19.39697093319468</c:v>
                </c:pt>
                <c:pt idx="465">
                  <c:v>18.818433521522266</c:v>
                </c:pt>
                <c:pt idx="466">
                  <c:v>18.25326344327021</c:v>
                </c:pt>
                <c:pt idx="467">
                  <c:v>17.701153902508267</c:v>
                </c:pt>
                <c:pt idx="468">
                  <c:v>17.161808330143504</c:v>
                </c:pt>
                <c:pt idx="469">
                  <c:v>16.634940004446445</c:v>
                </c:pt>
                <c:pt idx="470">
                  <c:v>16.12027168859662</c:v>
                </c:pt>
                <c:pt idx="471">
                  <c:v>15.617535284394114</c:v>
                </c:pt>
                <c:pt idx="472">
                  <c:v>15.126471501332333</c:v>
                </c:pt>
                <c:pt idx="473">
                  <c:v>14.646829540272298</c:v>
                </c:pt>
                <c:pt idx="474">
                  <c:v>14.178366791001366</c:v>
                </c:pt>
                <c:pt idx="475">
                  <c:v>13.720848542999484</c:v>
                </c:pt>
                <c:pt idx="476">
                  <c:v>13.274047708773145</c:v>
                </c:pt>
                <c:pt idx="477">
                  <c:v>12.83774455915259</c:v>
                </c:pt>
                <c:pt idx="478">
                  <c:v>12.411726469980966</c:v>
                </c:pt>
                <c:pt idx="479">
                  <c:v>11.995787679654976</c:v>
                </c:pt>
                <c:pt idx="480">
                  <c:v>11.589729057005913</c:v>
                </c:pt>
                <c:pt idx="481">
                  <c:v>11.193357879037423</c:v>
                </c:pt>
                <c:pt idx="482">
                  <c:v>10.806487618062043</c:v>
                </c:pt>
                <c:pt idx="483">
                  <c:v>10.428937737803158</c:v>
                </c:pt>
                <c:pt idx="484">
                  <c:v>10.060533498051583</c:v>
                </c:pt>
                <c:pt idx="485">
                  <c:v>9.7011057674877392</c:v>
                </c:pt>
                <c:pt idx="486">
                  <c:v>9.3504908443006745</c:v>
                </c:pt>
                <c:pt idx="487">
                  <c:v>9.0085302842542632</c:v>
                </c:pt>
                <c:pt idx="488">
                  <c:v>8.6750707358689638</c:v>
                </c:pt>
                <c:pt idx="489">
                  <c:v>8.3499637824045099</c:v>
                </c:pt>
                <c:pt idx="490">
                  <c:v>8.0330657903449847</c:v>
                </c:pt>
                <c:pt idx="491">
                  <c:v>7.7242377641027522</c:v>
                </c:pt>
                <c:pt idx="492">
                  <c:v>7.4233452066720051</c:v>
                </c:pt>
                <c:pt idx="493">
                  <c:v>7.130257985976125</c:v>
                </c:pt>
                <c:pt idx="494">
                  <c:v>6.8448502066656696</c:v>
                </c:pt>
                <c:pt idx="495">
                  <c:v>6.5670000871357912</c:v>
                </c:pt>
                <c:pt idx="496">
                  <c:v>6.2965898415430264</c:v>
                </c:pt>
                <c:pt idx="497">
                  <c:v>6.0335055666120683</c:v>
                </c:pt>
                <c:pt idx="498">
                  <c:v>5.7776371330330054</c:v>
                </c:pt>
                <c:pt idx="499">
                  <c:v>5.5288780812588678</c:v>
                </c:pt>
                <c:pt idx="500">
                  <c:v>5.2871255215220447</c:v>
                </c:pt>
                <c:pt idx="501">
                  <c:v>5.0522800378963693</c:v>
                </c:pt>
                <c:pt idx="502">
                  <c:v>4.8242455962392095</c:v>
                </c:pt>
                <c:pt idx="503">
                  <c:v>4.6029294558550635</c:v>
                </c:pt>
                <c:pt idx="504">
                  <c:v>4.3882420847285895</c:v>
                </c:pt>
                <c:pt idx="505">
                  <c:v>4.1800970781810687</c:v>
                </c:pt>
                <c:pt idx="506">
                  <c:v>3.9784110808096624</c:v>
                </c:pt>
                <c:pt idx="507">
                  <c:v>3.783103711573645</c:v>
                </c:pt>
                <c:pt idx="508">
                  <c:v>3.5940974918960689</c:v>
                </c:pt>
                <c:pt idx="509">
                  <c:v>3.4113177766528184</c:v>
                </c:pt>
                <c:pt idx="510">
                  <c:v>3.234692687923943</c:v>
                </c:pt>
                <c:pt idx="511">
                  <c:v>3.0641530513841588</c:v>
                </c:pt>
                <c:pt idx="512">
                  <c:v>2.8996323352106983</c:v>
                </c:pt>
                <c:pt idx="513">
                  <c:v>2.7410665913868182</c:v>
                </c:pt>
                <c:pt idx="514">
                  <c:v>2.5883943992784513</c:v>
                </c:pt>
                <c:pt idx="515">
                  <c:v>2.4415568113591331</c:v>
                </c:pt>
                <c:pt idx="516">
                  <c:v>2.3004973009546372</c:v>
                </c:pt>
                <c:pt idx="517">
                  <c:v>2.1651617118730422</c:v>
                </c:pt>
                <c:pt idx="518">
                  <c:v>2.0354982097781695</c:v>
                </c:pt>
                <c:pt idx="519">
                  <c:v>1.9114572351538854</c:v>
                </c:pt>
                <c:pt idx="520">
                  <c:v>1.7929914576931782</c:v>
                </c:pt>
                <c:pt idx="521">
                  <c:v>1.6800557319285632</c:v>
                </c:pt>
                <c:pt idx="522">
                  <c:v>1.5726070538985415</c:v>
                </c:pt>
                <c:pt idx="523">
                  <c:v>1.4706045186175127</c:v>
                </c:pt>
                <c:pt idx="524">
                  <c:v>1.3740092780828876</c:v>
                </c:pt>
                <c:pt idx="525">
                  <c:v>1.2827844995118276</c:v>
                </c:pt>
                <c:pt idx="526">
                  <c:v>1.1968953234499613</c:v>
                </c:pt>
                <c:pt idx="527">
                  <c:v>1.1163088213342962</c:v>
                </c:pt>
                <c:pt idx="528">
                  <c:v>1.0409939520212765</c:v>
                </c:pt>
                <c:pt idx="529">
                  <c:v>0.9709215167079307</c:v>
                </c:pt>
                <c:pt idx="530">
                  <c:v>0.90606411157940625</c:v>
                </c:pt>
                <c:pt idx="531">
                  <c:v>0.84639607741159839</c:v>
                </c:pt>
                <c:pt idx="532">
                  <c:v>0.79189344524686434</c:v>
                </c:pt>
                <c:pt idx="533">
                  <c:v>0.74253387715132357</c:v>
                </c:pt>
                <c:pt idx="534">
                  <c:v>0.69829660096575874</c:v>
                </c:pt>
                <c:pt idx="535">
                  <c:v>0.65916233789641321</c:v>
                </c:pt>
                <c:pt idx="536">
                  <c:v>0.62511322178087414</c:v>
                </c:pt>
                <c:pt idx="537">
                  <c:v>0.59613270893747328</c:v>
                </c:pt>
                <c:pt idx="538">
                  <c:v>0.57220547769625729</c:v>
                </c:pt>
                <c:pt idx="539">
                  <c:v>0.5533173170440745</c:v>
                </c:pt>
                <c:pt idx="540">
                  <c:v>0.53945500431066118</c:v>
                </c:pt>
                <c:pt idx="541">
                  <c:v>0.53060617246682851</c:v>
                </c:pt>
                <c:pt idx="542">
                  <c:v>0.526759168355042</c:v>
                </c:pt>
                <c:pt idx="543">
                  <c:v>0.52790290394436912</c:v>
                </c:pt>
                <c:pt idx="544">
                  <c:v>0.53402670338537506</c:v>
                </c:pt>
                <c:pt idx="545">
                  <c:v>0.54512014912046813</c:v>
                </c:pt>
                <c:pt idx="546">
                  <c:v>0.56117293049151151</c:v>
                </c:pt>
                <c:pt idx="547">
                  <c:v>0.5821746981425483</c:v>
                </c:pt>
                <c:pt idx="548">
                  <c:v>0.60811492706947301</c:v>
                </c:pt>
                <c:pt idx="549">
                  <c:v>0.6389827905046761</c:v>
                </c:pt>
                <c:pt idx="550">
                  <c:v>0.67476704605731552</c:v>
                </c:pt>
                <c:pt idx="551">
                  <c:v>0.71545593477204283</c:v>
                </c:pt>
                <c:pt idx="552">
                  <c:v>0.76103709310807133</c:v>
                </c:pt>
                <c:pt idx="553">
                  <c:v>0.81149747732647648</c:v>
                </c:pt>
                <c:pt idx="554">
                  <c:v>0.86682329942072844</c:v>
                </c:pt>
                <c:pt idx="555">
                  <c:v>0.92699997352105168</c:v>
                </c:pt>
                <c:pt idx="556">
                  <c:v>0.99201207161989025</c:v>
                </c:pt>
                <c:pt idx="557">
                  <c:v>1.0618432874710555</c:v>
                </c:pt>
                <c:pt idx="558">
                  <c:v>1.1364764075788565</c:v>
                </c:pt>
                <c:pt idx="559">
                  <c:v>1.2158932882905276</c:v>
                </c:pt>
                <c:pt idx="560">
                  <c:v>1.3000748381171849</c:v>
                </c:pt>
                <c:pt idx="561">
                  <c:v>1.3890010045226604</c:v>
                </c:pt>
                <c:pt idx="562">
                  <c:v>1.4826507645281846</c:v>
                </c:pt>
                <c:pt idx="563">
                  <c:v>1.5810021185796708</c:v>
                </c:pt>
                <c:pt idx="564">
                  <c:v>1.684032087211571</c:v>
                </c:pt>
                <c:pt idx="565">
                  <c:v>1.7917167101166112</c:v>
                </c:pt>
                <c:pt idx="566">
                  <c:v>1.9040310472947566</c:v>
                </c:pt>
                <c:pt idx="567">
                  <c:v>2.0209491820086658</c:v>
                </c:pt>
                <c:pt idx="568">
                  <c:v>2.1424442253178229</c:v>
                </c:pt>
                <c:pt idx="569">
                  <c:v>2.2684883220008425</c:v>
                </c:pt>
                <c:pt idx="570">
                  <c:v>2.3990526577062616</c:v>
                </c:pt>
                <c:pt idx="571">
                  <c:v>2.5341074671974901</c:v>
                </c:pt>
                <c:pt idx="572">
                  <c:v>2.6736220435785638</c:v>
                </c:pt>
                <c:pt idx="573">
                  <c:v>2.8175647484044632</c:v>
                </c:pt>
                <c:pt idx="574">
                  <c:v>2.9659030225939427</c:v>
                </c:pt>
                <c:pt idx="575">
                  <c:v>3.1186033980744527</c:v>
                </c:pt>
                <c:pt idx="576">
                  <c:v>3.275631510098298</c:v>
                </c:pt>
                <c:pt idx="577">
                  <c:v>3.4369521101770801</c:v>
                </c:pt>
                <c:pt idx="578">
                  <c:v>3.6025290795880416</c:v>
                </c:pt>
                <c:pt idx="579">
                  <c:v>3.7723254434112441</c:v>
                </c:pt>
                <c:pt idx="580">
                  <c:v>3.9463033850610709</c:v>
                </c:pt>
                <c:pt idx="581">
                  <c:v>4.1244242612791906</c:v>
                </c:pt>
                <c:pt idx="582">
                  <c:v>4.3066486175592607</c:v>
                </c:pt>
                <c:pt idx="583">
                  <c:v>4.4929362039761385</c:v>
                </c:pt>
                <c:pt idx="584">
                  <c:v>4.6832459913946272</c:v>
                </c:pt>
                <c:pt idx="585">
                  <c:v>4.8775361880344859</c:v>
                </c:pt>
                <c:pt idx="586">
                  <c:v>5.075764256369987</c:v>
                </c:pt>
                <c:pt idx="587">
                  <c:v>5.2778869303435565</c:v>
                </c:pt>
                <c:pt idx="588">
                  <c:v>5.4838602328741413</c:v>
                </c:pt>
                <c:pt idx="589">
                  <c:v>5.6936394936417765</c:v>
                </c:pt>
                <c:pt idx="590">
                  <c:v>5.9071793671307065</c:v>
                </c:pt>
                <c:pt idx="591">
                  <c:v>6.1244338509139427</c:v>
                </c:pt>
                <c:pt idx="592">
                  <c:v>6.3453563041628422</c:v>
                </c:pt>
                <c:pt idx="593">
                  <c:v>6.5698994663656407</c:v>
                </c:pt>
                <c:pt idx="594">
                  <c:v>6.7980154762394545</c:v>
                </c:pt>
                <c:pt idx="595">
                  <c:v>7.0296558908204636</c:v>
                </c:pt>
                <c:pt idx="596">
                  <c:v>7.2647717047174574</c:v>
                </c:pt>
                <c:pt idx="597">
                  <c:v>7.5033133695141325</c:v>
                </c:pt>
                <c:pt idx="598">
                  <c:v>7.7452308133058736</c:v>
                </c:pt>
                <c:pt idx="599">
                  <c:v>7.9904734603568848</c:v>
                </c:pt>
                <c:pt idx="600">
                  <c:v>8.2389902508638393</c:v>
                </c:pt>
                <c:pt idx="601">
                  <c:v>8.490729660812427</c:v>
                </c:pt>
                <c:pt idx="602">
                  <c:v>8.7456397219133262</c:v>
                </c:pt>
                <c:pt idx="603">
                  <c:v>9.0036680416043549</c:v>
                </c:pt>
                <c:pt idx="604">
                  <c:v>9.2647618231056708</c:v>
                </c:pt>
                <c:pt idx="605">
                  <c:v>9.5288678855152398</c:v>
                </c:pt>
                <c:pt idx="606">
                  <c:v>9.795932683931678</c:v>
                </c:pt>
                <c:pt idx="607">
                  <c:v>10.065902329592118</c:v>
                </c:pt>
                <c:pt idx="608">
                  <c:v>10.338722610012526</c:v>
                </c:pt>
                <c:pt idx="609">
                  <c:v>10.614339009118412</c:v>
                </c:pt>
                <c:pt idx="610">
                  <c:v>10.892696727353846</c:v>
                </c:pt>
                <c:pt idx="611">
                  <c:v>11.173740701756969</c:v>
                </c:pt>
                <c:pt idx="612">
                  <c:v>11.457415625990315</c:v>
                </c:pt>
                <c:pt idx="613">
                  <c:v>11.74366597031449</c:v>
                </c:pt>
                <c:pt idx="614">
                  <c:v>12.032436001493924</c:v>
                </c:pt>
                <c:pt idx="615">
                  <c:v>12.323669802623597</c:v>
                </c:pt>
                <c:pt idx="616">
                  <c:v>12.617311292865924</c:v>
                </c:pt>
                <c:pt idx="617">
                  <c:v>12.913304247087002</c:v>
                </c:pt>
                <c:pt idx="618">
                  <c:v>13.211592315381782</c:v>
                </c:pt>
                <c:pt idx="619">
                  <c:v>13.512119042478034</c:v>
                </c:pt>
                <c:pt idx="620">
                  <c:v>13.814827887008825</c:v>
                </c:pt>
                <c:pt idx="621">
                  <c:v>14.11966224064394</c:v>
                </c:pt>
                <c:pt idx="622">
                  <c:v>14.426565447070388</c:v>
                </c:pt>
                <c:pt idx="623">
                  <c:v>14.735480820812906</c:v>
                </c:pt>
                <c:pt idx="624">
                  <c:v>15.046351665885069</c:v>
                </c:pt>
                <c:pt idx="625">
                  <c:v>15.359121294262289</c:v>
                </c:pt>
                <c:pt idx="626">
                  <c:v>15.673733044167948</c:v>
                </c:pt>
                <c:pt idx="627">
                  <c:v>15.990130298164331</c:v>
                </c:pt>
                <c:pt idx="628">
                  <c:v>16.308256501040127</c:v>
                </c:pt>
                <c:pt idx="629">
                  <c:v>16.628055177486655</c:v>
                </c:pt>
                <c:pt idx="630">
                  <c:v>16.949469949555105</c:v>
                </c:pt>
                <c:pt idx="631">
                  <c:v>17.272444553887428</c:v>
                </c:pt>
                <c:pt idx="632">
                  <c:v>17.596922858713718</c:v>
                </c:pt>
                <c:pt idx="633">
                  <c:v>17.922848880609227</c:v>
                </c:pt>
                <c:pt idx="634">
                  <c:v>18.250166801004447</c:v>
                </c:pt>
                <c:pt idx="635">
                  <c:v>18.578820982441744</c:v>
                </c:pt>
                <c:pt idx="636">
                  <c:v>18.908755984572643</c:v>
                </c:pt>
                <c:pt idx="637">
                  <c:v>19.239916579889929</c:v>
                </c:pt>
                <c:pt idx="638">
                  <c:v>19.572247769188795</c:v>
                </c:pt>
                <c:pt idx="639">
                  <c:v>19.905694796752183</c:v>
                </c:pt>
                <c:pt idx="640">
                  <c:v>20.240203165254826</c:v>
                </c:pt>
                <c:pt idx="641">
                  <c:v>20.575718650381617</c:v>
                </c:pt>
                <c:pt idx="642">
                  <c:v>20.912187315155656</c:v>
                </c:pt>
                <c:pt idx="643">
                  <c:v>21.249555523971836</c:v>
                </c:pt>
                <c:pt idx="644">
                  <c:v>21.587769956331979</c:v>
                </c:pt>
                <c:pt idx="645">
                  <c:v>21.926777620277953</c:v>
                </c:pt>
                <c:pt idx="646">
                  <c:v>22.266525865519259</c:v>
                </c:pt>
                <c:pt idx="647">
                  <c:v>22.606962396252012</c:v>
                </c:pt>
                <c:pt idx="648">
                  <c:v>22.948035283666417</c:v>
                </c:pt>
                <c:pt idx="649">
                  <c:v>23.289692978140152</c:v>
                </c:pt>
                <c:pt idx="650">
                  <c:v>23.631884321115294</c:v>
                </c:pt>
                <c:pt idx="651">
                  <c:v>23.974558556656682</c:v>
                </c:pt>
                <c:pt idx="652">
                  <c:v>24.317665342689786</c:v>
                </c:pt>
                <c:pt idx="653">
                  <c:v>24.661154761916741</c:v>
                </c:pt>
                <c:pt idx="654">
                  <c:v>25.004977332408849</c:v>
                </c:pt>
                <c:pt idx="655">
                  <c:v>25.349084017874745</c:v>
                </c:pt>
                <c:pt idx="656">
                  <c:v>25.693426237603198</c:v>
                </c:pt>
                <c:pt idx="657">
                  <c:v>26.037955876080037</c:v>
                </c:pt>
                <c:pt idx="658">
                  <c:v>26.382625292278636</c:v>
                </c:pt>
                <c:pt idx="659">
                  <c:v>26.72738732862399</c:v>
                </c:pt>
                <c:pt idx="660">
                  <c:v>27.072195319630449</c:v>
                </c:pt>
                <c:pt idx="661">
                  <c:v>27.417003100213144</c:v>
                </c:pt>
                <c:pt idx="662">
                  <c:v>27.761765013673941</c:v>
                </c:pt>
                <c:pt idx="663">
                  <c:v>28.106435919362486</c:v>
                </c:pt>
                <c:pt idx="664">
                  <c:v>28.450971200013264</c:v>
                </c:pt>
                <c:pt idx="665">
                  <c:v>28.795326768759796</c:v>
                </c:pt>
                <c:pt idx="666">
                  <c:v>29.139459075827354</c:v>
                </c:pt>
                <c:pt idx="667">
                  <c:v>29.483325114905863</c:v>
                </c:pt>
                <c:pt idx="668">
                  <c:v>29.8268824292043</c:v>
                </c:pt>
                <c:pt idx="669">
                  <c:v>30.170089117189029</c:v>
                </c:pt>
                <c:pt idx="670">
                  <c:v>30.512903838007645</c:v>
                </c:pt>
                <c:pt idx="671">
                  <c:v>30.855285816601018</c:v>
                </c:pt>
                <c:pt idx="672">
                  <c:v>31.197194848505639</c:v>
                </c:pt>
                <c:pt idx="673">
                  <c:v>31.538591304349115</c:v>
                </c:pt>
                <c:pt idx="674">
                  <c:v>31.879436134041274</c:v>
                </c:pt>
                <c:pt idx="675">
                  <c:v>32.219690870664131</c:v>
                </c:pt>
                <c:pt idx="676">
                  <c:v>32.559317634063447</c:v>
                </c:pt>
                <c:pt idx="677">
                  <c:v>32.898279134145341</c:v>
                </c:pt>
                <c:pt idx="678">
                  <c:v>33.236538673880993</c:v>
                </c:pt>
                <c:pt idx="679">
                  <c:v>33.574060152023229</c:v>
                </c:pt>
                <c:pt idx="680">
                  <c:v>33.910808065538276</c:v>
                </c:pt>
                <c:pt idx="681">
                  <c:v>34.246747511756602</c:v>
                </c:pt>
                <c:pt idx="682">
                  <c:v>34.581844190246557</c:v>
                </c:pt>
                <c:pt idx="683">
                  <c:v>34.916064404414769</c:v>
                </c:pt>
                <c:pt idx="684">
                  <c:v>35.249375062837323</c:v>
                </c:pt>
                <c:pt idx="685">
                  <c:v>35.581743680325914</c:v>
                </c:pt>
                <c:pt idx="686">
                  <c:v>35.913138378733059</c:v>
                </c:pt>
                <c:pt idx="687">
                  <c:v>36.243527887500839</c:v>
                </c:pt>
                <c:pt idx="688">
                  <c:v>36.572881543957486</c:v>
                </c:pt>
                <c:pt idx="689">
                  <c:v>36.901169293366245</c:v>
                </c:pt>
                <c:pt idx="690">
                  <c:v>37.22836168873112</c:v>
                </c:pt>
                <c:pt idx="691">
                  <c:v>37.55442989036424</c:v>
                </c:pt>
                <c:pt idx="692">
                  <c:v>37.879345665218963</c:v>
                </c:pt>
                <c:pt idx="693">
                  <c:v>38.203081385994402</c:v>
                </c:pt>
                <c:pt idx="694">
                  <c:v>38.525610030015173</c:v>
                </c:pt>
                <c:pt idx="695">
                  <c:v>38.846905177891664</c:v>
                </c:pt>
                <c:pt idx="696">
                  <c:v>39.166941011965882</c:v>
                </c:pt>
                <c:pt idx="697">
                  <c:v>39.485692314547265</c:v>
                </c:pt>
                <c:pt idx="698">
                  <c:v>39.803134465943685</c:v>
                </c:pt>
                <c:pt idx="699">
                  <c:v>40.119243442292699</c:v>
                </c:pt>
                <c:pt idx="700">
                  <c:v>40.433995813197825</c:v>
                </c:pt>
                <c:pt idx="701">
                  <c:v>40.747368739174945</c:v>
                </c:pt>
                <c:pt idx="702">
                  <c:v>41.059339968913655</c:v>
                </c:pt>
                <c:pt idx="703">
                  <c:v>41.369887836359048</c:v>
                </c:pt>
                <c:pt idx="704">
                  <c:v>41.678991257618364</c:v>
                </c:pt>
                <c:pt idx="705">
                  <c:v>41.986629727698045</c:v>
                </c:pt>
                <c:pt idx="706">
                  <c:v>42.292783317075887</c:v>
                </c:pt>
                <c:pt idx="707">
                  <c:v>42.597432668113413</c:v>
                </c:pt>
                <c:pt idx="708">
                  <c:v>42.900558991313638</c:v>
                </c:pt>
                <c:pt idx="709">
                  <c:v>43.202144061428974</c:v>
                </c:pt>
                <c:pt idx="710">
                  <c:v>43.502170213424236</c:v>
                </c:pt>
                <c:pt idx="711">
                  <c:v>43.800620338300163</c:v>
                </c:pt>
                <c:pt idx="712">
                  <c:v>44.097477878781667</c:v>
                </c:pt>
                <c:pt idx="713">
                  <c:v>44.392726824876448</c:v>
                </c:pt>
                <c:pt idx="714">
                  <c:v>44.686351709308212</c:v>
                </c:pt>
                <c:pt idx="715">
                  <c:v>44.978337602829875</c:v>
                </c:pt>
                <c:pt idx="716">
                  <c:v>45.268670109421201</c:v>
                </c:pt>
                <c:pt idx="717">
                  <c:v>45.557335361375706</c:v>
                </c:pt>
                <c:pt idx="718">
                  <c:v>45.844320014281713</c:v>
                </c:pt>
                <c:pt idx="719">
                  <c:v>46.129611241902161</c:v>
                </c:pt>
                <c:pt idx="720">
                  <c:v>46.413196730957587</c:v>
                </c:pt>
                <c:pt idx="721">
                  <c:v>46.695064675817299</c:v>
                </c:pt>
                <c:pt idx="722">
                  <c:v>46.975203773102905</c:v>
                </c:pt>
                <c:pt idx="723">
                  <c:v>47.253603216208752</c:v>
                </c:pt>
                <c:pt idx="724">
                  <c:v>47.530252689743968</c:v>
                </c:pt>
                <c:pt idx="725">
                  <c:v>47.805142363900075</c:v>
                </c:pt>
                <c:pt idx="726">
                  <c:v>48.078262888748768</c:v>
                </c:pt>
                <c:pt idx="727">
                  <c:v>48.349605388474124</c:v>
                </c:pt>
                <c:pt idx="728">
                  <c:v>48.619161455543093</c:v>
                </c:pt>
                <c:pt idx="729">
                  <c:v>48.88692314481893</c:v>
                </c:pt>
                <c:pt idx="730">
                  <c:v>49.152882967620997</c:v>
                </c:pt>
                <c:pt idx="731">
                  <c:v>49.417033885735727</c:v>
                </c:pt>
                <c:pt idx="732">
                  <c:v>49.679369305381769</c:v>
                </c:pt>
                <c:pt idx="733">
                  <c:v>49.939883071133906</c:v>
                </c:pt>
                <c:pt idx="734">
                  <c:v>50.198569459809079</c:v>
                </c:pt>
                <c:pt idx="735">
                  <c:v>50.455423174318568</c:v>
                </c:pt>
                <c:pt idx="736">
                  <c:v>50.710439337489838</c:v>
                </c:pt>
                <c:pt idx="737">
                  <c:v>50.963613485861337</c:v>
                </c:pt>
                <c:pt idx="738">
                  <c:v>51.214941563454396</c:v>
                </c:pt>
                <c:pt idx="739">
                  <c:v>51.464419915524857</c:v>
                </c:pt>
                <c:pt idx="740">
                  <c:v>51.712045282298725</c:v>
                </c:pt>
                <c:pt idx="741">
                  <c:v>51.957814792694222</c:v>
                </c:pt>
                <c:pt idx="742">
                  <c:v>52.201725958033862</c:v>
                </c:pt>
                <c:pt idx="743">
                  <c:v>52.443776665749851</c:v>
                </c:pt>
                <c:pt idx="744">
                  <c:v>52.683965173085646</c:v>
                </c:pt>
                <c:pt idx="745">
                  <c:v>52.922290100796474</c:v>
                </c:pt>
                <c:pt idx="746">
                  <c:v>53.158750426852144</c:v>
                </c:pt>
                <c:pt idx="747">
                  <c:v>53.393345480144781</c:v>
                </c:pt>
                <c:pt idx="748">
                  <c:v>53.626074934203942</c:v>
                </c:pt>
                <c:pt idx="749">
                  <c:v>53.856938800922613</c:v>
                </c:pt>
                <c:pt idx="750">
                  <c:v>54.085937424295473</c:v>
                </c:pt>
                <c:pt idx="751">
                  <c:v>54.313071474173285</c:v>
                </c:pt>
                <c:pt idx="752">
                  <c:v>54.53834194003479</c:v>
                </c:pt>
                <c:pt idx="753">
                  <c:v>54.761750124779304</c:v>
                </c:pt>
                <c:pt idx="754">
                  <c:v>54.983297638541579</c:v>
                </c:pt>
                <c:pt idx="755">
                  <c:v>54.98351692954374</c:v>
                </c:pt>
                <c:pt idx="756">
                  <c:v>54.983736218706248</c:v>
                </c:pt>
                <c:pt idx="757">
                  <c:v>54.983955506029005</c:v>
                </c:pt>
                <c:pt idx="758">
                  <c:v>54.984174791512118</c:v>
                </c:pt>
                <c:pt idx="759">
                  <c:v>54.984394075155471</c:v>
                </c:pt>
                <c:pt idx="760">
                  <c:v>54.984613356959187</c:v>
                </c:pt>
                <c:pt idx="761">
                  <c:v>54.984832636923215</c:v>
                </c:pt>
                <c:pt idx="762">
                  <c:v>54.985051915047542</c:v>
                </c:pt>
                <c:pt idx="763">
                  <c:v>54.98527119133216</c:v>
                </c:pt>
                <c:pt idx="764">
                  <c:v>54.985490465777104</c:v>
                </c:pt>
                <c:pt idx="765">
                  <c:v>54.985709738382376</c:v>
                </c:pt>
                <c:pt idx="766">
                  <c:v>54.985929009147959</c:v>
                </c:pt>
                <c:pt idx="767">
                  <c:v>54.986148278073856</c:v>
                </c:pt>
                <c:pt idx="768">
                  <c:v>54.986367545160078</c:v>
                </c:pt>
                <c:pt idx="769">
                  <c:v>54.986586810406678</c:v>
                </c:pt>
                <c:pt idx="770">
                  <c:v>54.986806073813526</c:v>
                </c:pt>
                <c:pt idx="771">
                  <c:v>54.987025335380729</c:v>
                </c:pt>
                <c:pt idx="772">
                  <c:v>54.987244595108294</c:v>
                </c:pt>
                <c:pt idx="773">
                  <c:v>54.987463852996171</c:v>
                </c:pt>
                <c:pt idx="774">
                  <c:v>54.98768310904439</c:v>
                </c:pt>
                <c:pt idx="775">
                  <c:v>54.98790236325295</c:v>
                </c:pt>
                <c:pt idx="776">
                  <c:v>54.988121615621836</c:v>
                </c:pt>
                <c:pt idx="777">
                  <c:v>54.988340866151098</c:v>
                </c:pt>
                <c:pt idx="778">
                  <c:v>54.988560114840681</c:v>
                </c:pt>
                <c:pt idx="779">
                  <c:v>54.988779361690618</c:v>
                </c:pt>
                <c:pt idx="780">
                  <c:v>54.988998606700896</c:v>
                </c:pt>
                <c:pt idx="781">
                  <c:v>54.989217849871572</c:v>
                </c:pt>
                <c:pt idx="782">
                  <c:v>54.989437091202561</c:v>
                </c:pt>
                <c:pt idx="783">
                  <c:v>54.98965633069389</c:v>
                </c:pt>
                <c:pt idx="784">
                  <c:v>54.989875568345603</c:v>
                </c:pt>
                <c:pt idx="785">
                  <c:v>54.990094804157671</c:v>
                </c:pt>
                <c:pt idx="786">
                  <c:v>54.990314038130109</c:v>
                </c:pt>
                <c:pt idx="787">
                  <c:v>54.990533270262922</c:v>
                </c:pt>
                <c:pt idx="788">
                  <c:v>54.990752500556084</c:v>
                </c:pt>
                <c:pt idx="789">
                  <c:v>54.99097172900958</c:v>
                </c:pt>
                <c:pt idx="790">
                  <c:v>54.991190955623473</c:v>
                </c:pt>
                <c:pt idx="791">
                  <c:v>54.991410180397729</c:v>
                </c:pt>
                <c:pt idx="792">
                  <c:v>54.991629403332389</c:v>
                </c:pt>
                <c:pt idx="793">
                  <c:v>54.991848624427405</c:v>
                </c:pt>
                <c:pt idx="794">
                  <c:v>54.992067843682818</c:v>
                </c:pt>
                <c:pt idx="795">
                  <c:v>54.992287061098594</c:v>
                </c:pt>
                <c:pt idx="796">
                  <c:v>54.992506276674753</c:v>
                </c:pt>
                <c:pt idx="797">
                  <c:v>54.992725490411331</c:v>
                </c:pt>
                <c:pt idx="798">
                  <c:v>54.992944702308272</c:v>
                </c:pt>
                <c:pt idx="799">
                  <c:v>54.993163912365581</c:v>
                </c:pt>
                <c:pt idx="800">
                  <c:v>54.993383120583339</c:v>
                </c:pt>
                <c:pt idx="801">
                  <c:v>54.993602326961451</c:v>
                </c:pt>
                <c:pt idx="802">
                  <c:v>54.993821531500004</c:v>
                </c:pt>
                <c:pt idx="803">
                  <c:v>54.994040734198897</c:v>
                </c:pt>
                <c:pt idx="804">
                  <c:v>54.994259935058196</c:v>
                </c:pt>
                <c:pt idx="805">
                  <c:v>54.99447913407792</c:v>
                </c:pt>
                <c:pt idx="806">
                  <c:v>54.994698331258071</c:v>
                </c:pt>
                <c:pt idx="807">
                  <c:v>54.994917526598577</c:v>
                </c:pt>
                <c:pt idx="808">
                  <c:v>54.995136720099474</c:v>
                </c:pt>
                <c:pt idx="809">
                  <c:v>54.995355911760889</c:v>
                </c:pt>
                <c:pt idx="810">
                  <c:v>54.995575101582645</c:v>
                </c:pt>
                <c:pt idx="811">
                  <c:v>54.995794289564849</c:v>
                </c:pt>
                <c:pt idx="812">
                  <c:v>54.996013475707443</c:v>
                </c:pt>
                <c:pt idx="813">
                  <c:v>54.996232660010456</c:v>
                </c:pt>
                <c:pt idx="814">
                  <c:v>54.996451842473917</c:v>
                </c:pt>
                <c:pt idx="815">
                  <c:v>54.996671023097754</c:v>
                </c:pt>
                <c:pt idx="816">
                  <c:v>54.996890201882053</c:v>
                </c:pt>
                <c:pt idx="817">
                  <c:v>54.997109378826771</c:v>
                </c:pt>
                <c:pt idx="818">
                  <c:v>54.997328553931908</c:v>
                </c:pt>
                <c:pt idx="819">
                  <c:v>54.997547727197514</c:v>
                </c:pt>
                <c:pt idx="820">
                  <c:v>54.997766898623503</c:v>
                </c:pt>
                <c:pt idx="821">
                  <c:v>54.997986068209968</c:v>
                </c:pt>
                <c:pt idx="822">
                  <c:v>54.998205235956881</c:v>
                </c:pt>
                <c:pt idx="823">
                  <c:v>54.998424401864199</c:v>
                </c:pt>
                <c:pt idx="824">
                  <c:v>54.998643565931971</c:v>
                </c:pt>
                <c:pt idx="825">
                  <c:v>54.998862728160198</c:v>
                </c:pt>
                <c:pt idx="826">
                  <c:v>54.999081888548865</c:v>
                </c:pt>
                <c:pt idx="827">
                  <c:v>54.999301047097987</c:v>
                </c:pt>
                <c:pt idx="828">
                  <c:v>54.999520203807563</c:v>
                </c:pt>
                <c:pt idx="829">
                  <c:v>54.999739358677601</c:v>
                </c:pt>
                <c:pt idx="830">
                  <c:v>54.999958511708101</c:v>
                </c:pt>
                <c:pt idx="831">
                  <c:v>55.00017766289902</c:v>
                </c:pt>
                <c:pt idx="832">
                  <c:v>55.000396812250436</c:v>
                </c:pt>
                <c:pt idx="833">
                  <c:v>55.0006159597623</c:v>
                </c:pt>
                <c:pt idx="834">
                  <c:v>55.000835105434618</c:v>
                </c:pt>
                <c:pt idx="835">
                  <c:v>55.001054249267426</c:v>
                </c:pt>
                <c:pt idx="836">
                  <c:v>55.001273391260703</c:v>
                </c:pt>
                <c:pt idx="837">
                  <c:v>55.001492531414392</c:v>
                </c:pt>
                <c:pt idx="838">
                  <c:v>55.001711669728586</c:v>
                </c:pt>
                <c:pt idx="839">
                  <c:v>55.001930806203298</c:v>
                </c:pt>
                <c:pt idx="840">
                  <c:v>55.002149940838443</c:v>
                </c:pt>
                <c:pt idx="841">
                  <c:v>55.0023690736341</c:v>
                </c:pt>
                <c:pt idx="842">
                  <c:v>55.002588204590211</c:v>
                </c:pt>
                <c:pt idx="843">
                  <c:v>55.002807333706819</c:v>
                </c:pt>
                <c:pt idx="844">
                  <c:v>55.003026460983911</c:v>
                </c:pt>
                <c:pt idx="845">
                  <c:v>55.003245586421485</c:v>
                </c:pt>
                <c:pt idx="846">
                  <c:v>55.003464710019557</c:v>
                </c:pt>
                <c:pt idx="847">
                  <c:v>55.003683831778126</c:v>
                </c:pt>
                <c:pt idx="848">
                  <c:v>55.003902951697157</c:v>
                </c:pt>
                <c:pt idx="849">
                  <c:v>55.004122069776727</c:v>
                </c:pt>
                <c:pt idx="850">
                  <c:v>55.004341186016774</c:v>
                </c:pt>
                <c:pt idx="851">
                  <c:v>55.00456030041731</c:v>
                </c:pt>
                <c:pt idx="852">
                  <c:v>55.004779412978365</c:v>
                </c:pt>
                <c:pt idx="853">
                  <c:v>55.004998523699932</c:v>
                </c:pt>
                <c:pt idx="854">
                  <c:v>55.005217632581967</c:v>
                </c:pt>
                <c:pt idx="855">
                  <c:v>55.00543673962455</c:v>
                </c:pt>
                <c:pt idx="856">
                  <c:v>55.005655844827665</c:v>
                </c:pt>
                <c:pt idx="857">
                  <c:v>55.005874948191256</c:v>
                </c:pt>
                <c:pt idx="858">
                  <c:v>55.006094049715379</c:v>
                </c:pt>
                <c:pt idx="859">
                  <c:v>55.006313149400015</c:v>
                </c:pt>
                <c:pt idx="860">
                  <c:v>55.006532247245183</c:v>
                </c:pt>
                <c:pt idx="861">
                  <c:v>55.006751343250819</c:v>
                </c:pt>
                <c:pt idx="862">
                  <c:v>55.006970437417053</c:v>
                </c:pt>
                <c:pt idx="863">
                  <c:v>55.007189529743769</c:v>
                </c:pt>
                <c:pt idx="864">
                  <c:v>55.007408620231026</c:v>
                </c:pt>
                <c:pt idx="865">
                  <c:v>55.0076277088788</c:v>
                </c:pt>
                <c:pt idx="866">
                  <c:v>55.007846795687122</c:v>
                </c:pt>
                <c:pt idx="867">
                  <c:v>55.008065880655984</c:v>
                </c:pt>
                <c:pt idx="868">
                  <c:v>55.0082849637854</c:v>
                </c:pt>
                <c:pt idx="869">
                  <c:v>55.008504045075306</c:v>
                </c:pt>
                <c:pt idx="870">
                  <c:v>55.008723124525815</c:v>
                </c:pt>
                <c:pt idx="871">
                  <c:v>55.008942202136829</c:v>
                </c:pt>
                <c:pt idx="872">
                  <c:v>55.00916127790839</c:v>
                </c:pt>
                <c:pt idx="873">
                  <c:v>55.009380351840463</c:v>
                </c:pt>
                <c:pt idx="874">
                  <c:v>55.009599423933132</c:v>
                </c:pt>
                <c:pt idx="875">
                  <c:v>55.009818494186327</c:v>
                </c:pt>
                <c:pt idx="876">
                  <c:v>55.010037562600111</c:v>
                </c:pt>
                <c:pt idx="877">
                  <c:v>55.010256629174428</c:v>
                </c:pt>
                <c:pt idx="878">
                  <c:v>55.010475693909306</c:v>
                </c:pt>
                <c:pt idx="879">
                  <c:v>55.010694756804774</c:v>
                </c:pt>
                <c:pt idx="880">
                  <c:v>55.010913817860782</c:v>
                </c:pt>
                <c:pt idx="881">
                  <c:v>55.01113287707733</c:v>
                </c:pt>
                <c:pt idx="882">
                  <c:v>55.011351934454495</c:v>
                </c:pt>
                <c:pt idx="883">
                  <c:v>55.01157098999218</c:v>
                </c:pt>
                <c:pt idx="884">
                  <c:v>55.011790043690482</c:v>
                </c:pt>
                <c:pt idx="885">
                  <c:v>55.012009095549345</c:v>
                </c:pt>
                <c:pt idx="886">
                  <c:v>55.012228145568734</c:v>
                </c:pt>
                <c:pt idx="887">
                  <c:v>55.012447193748734</c:v>
                </c:pt>
                <c:pt idx="888">
                  <c:v>55.012666240089338</c:v>
                </c:pt>
                <c:pt idx="889">
                  <c:v>55.012885284590503</c:v>
                </c:pt>
                <c:pt idx="890">
                  <c:v>55.013104327252258</c:v>
                </c:pt>
                <c:pt idx="891">
                  <c:v>55.013323368074587</c:v>
                </c:pt>
                <c:pt idx="892">
                  <c:v>55.013542407057521</c:v>
                </c:pt>
                <c:pt idx="893">
                  <c:v>55.01376144420103</c:v>
                </c:pt>
                <c:pt idx="894">
                  <c:v>55.013980479505143</c:v>
                </c:pt>
                <c:pt idx="895">
                  <c:v>55.014199512969853</c:v>
                </c:pt>
                <c:pt idx="896">
                  <c:v>55.014418544595181</c:v>
                </c:pt>
                <c:pt idx="897">
                  <c:v>55.014637574381069</c:v>
                </c:pt>
                <c:pt idx="898">
                  <c:v>55.014856602327569</c:v>
                </c:pt>
                <c:pt idx="899">
                  <c:v>55.01507562843468</c:v>
                </c:pt>
                <c:pt idx="900">
                  <c:v>55.015294652702408</c:v>
                </c:pt>
                <c:pt idx="901">
                  <c:v>55.015513675130713</c:v>
                </c:pt>
                <c:pt idx="902">
                  <c:v>55.015732695719663</c:v>
                </c:pt>
                <c:pt idx="903">
                  <c:v>55.015951714469224</c:v>
                </c:pt>
                <c:pt idx="904">
                  <c:v>55.016170731379376</c:v>
                </c:pt>
                <c:pt idx="905">
                  <c:v>55.016389746450152</c:v>
                </c:pt>
                <c:pt idx="906">
                  <c:v>55.016608759681567</c:v>
                </c:pt>
                <c:pt idx="907">
                  <c:v>55.016827771073601</c:v>
                </c:pt>
                <c:pt idx="908">
                  <c:v>55.017046780626224</c:v>
                </c:pt>
                <c:pt idx="909">
                  <c:v>55.017265788339508</c:v>
                </c:pt>
                <c:pt idx="910">
                  <c:v>55.017484794213381</c:v>
                </c:pt>
                <c:pt idx="911">
                  <c:v>55.017703798247908</c:v>
                </c:pt>
                <c:pt idx="912">
                  <c:v>55.017922800443074</c:v>
                </c:pt>
                <c:pt idx="913">
                  <c:v>55.018141800798851</c:v>
                </c:pt>
                <c:pt idx="914">
                  <c:v>55.018360799315261</c:v>
                </c:pt>
                <c:pt idx="915">
                  <c:v>55.018579795992309</c:v>
                </c:pt>
                <c:pt idx="916">
                  <c:v>55.018798790830047</c:v>
                </c:pt>
                <c:pt idx="917">
                  <c:v>55.019017783828403</c:v>
                </c:pt>
                <c:pt idx="918">
                  <c:v>55.019236774987377</c:v>
                </c:pt>
                <c:pt idx="919">
                  <c:v>55.019455764307025</c:v>
                </c:pt>
                <c:pt idx="920">
                  <c:v>55.019674751787292</c:v>
                </c:pt>
                <c:pt idx="921">
                  <c:v>55.01989373742822</c:v>
                </c:pt>
                <c:pt idx="922">
                  <c:v>55.020112721229836</c:v>
                </c:pt>
                <c:pt idx="923">
                  <c:v>55.020331703192085</c:v>
                </c:pt>
                <c:pt idx="924">
                  <c:v>55.020550683315008</c:v>
                </c:pt>
                <c:pt idx="925">
                  <c:v>55.020769661598571</c:v>
                </c:pt>
                <c:pt idx="926">
                  <c:v>55.020988638042809</c:v>
                </c:pt>
                <c:pt idx="927">
                  <c:v>55.0212076126477</c:v>
                </c:pt>
                <c:pt idx="928">
                  <c:v>55.021426585413295</c:v>
                </c:pt>
                <c:pt idx="929">
                  <c:v>55.021645556339493</c:v>
                </c:pt>
                <c:pt idx="930">
                  <c:v>55.021864525426395</c:v>
                </c:pt>
                <c:pt idx="931">
                  <c:v>55.022083492673943</c:v>
                </c:pt>
                <c:pt idx="932">
                  <c:v>55.022302458082216</c:v>
                </c:pt>
                <c:pt idx="933">
                  <c:v>55.022521421651113</c:v>
                </c:pt>
                <c:pt idx="934">
                  <c:v>55.022740383380729</c:v>
                </c:pt>
                <c:pt idx="935">
                  <c:v>55.022959343271005</c:v>
                </c:pt>
                <c:pt idx="936">
                  <c:v>55.023178301321977</c:v>
                </c:pt>
                <c:pt idx="937">
                  <c:v>55.023397257533624</c:v>
                </c:pt>
                <c:pt idx="938">
                  <c:v>55.023616211905974</c:v>
                </c:pt>
                <c:pt idx="939">
                  <c:v>55.023835164438999</c:v>
                </c:pt>
                <c:pt idx="940">
                  <c:v>55.024054115132706</c:v>
                </c:pt>
                <c:pt idx="941">
                  <c:v>55.02427306398711</c:v>
                </c:pt>
                <c:pt idx="942">
                  <c:v>55.024492011002259</c:v>
                </c:pt>
                <c:pt idx="943">
                  <c:v>55.024710956178069</c:v>
                </c:pt>
                <c:pt idx="944">
                  <c:v>55.024929899514611</c:v>
                </c:pt>
                <c:pt idx="945">
                  <c:v>55.025148841011813</c:v>
                </c:pt>
                <c:pt idx="946">
                  <c:v>55.02536778066974</c:v>
                </c:pt>
                <c:pt idx="947">
                  <c:v>55.025586718488412</c:v>
                </c:pt>
                <c:pt idx="948">
                  <c:v>55.025805654467717</c:v>
                </c:pt>
                <c:pt idx="949">
                  <c:v>55.026024588607768</c:v>
                </c:pt>
                <c:pt idx="950">
                  <c:v>55.026243520908523</c:v>
                </c:pt>
                <c:pt idx="951">
                  <c:v>55.026462451370016</c:v>
                </c:pt>
                <c:pt idx="952">
                  <c:v>55.026681379992212</c:v>
                </c:pt>
                <c:pt idx="953">
                  <c:v>55.02690030677514</c:v>
                </c:pt>
                <c:pt idx="954">
                  <c:v>55.027119231718792</c:v>
                </c:pt>
                <c:pt idx="955">
                  <c:v>55.027338154823141</c:v>
                </c:pt>
                <c:pt idx="956">
                  <c:v>55.027557076088222</c:v>
                </c:pt>
                <c:pt idx="957">
                  <c:v>55.02777599551407</c:v>
                </c:pt>
                <c:pt idx="958">
                  <c:v>55.027994913100621</c:v>
                </c:pt>
                <c:pt idx="959">
                  <c:v>55.028213828847917</c:v>
                </c:pt>
                <c:pt idx="960">
                  <c:v>55.028432742755911</c:v>
                </c:pt>
                <c:pt idx="961">
                  <c:v>55.028651654824721</c:v>
                </c:pt>
                <c:pt idx="962">
                  <c:v>55.028870565054198</c:v>
                </c:pt>
                <c:pt idx="963">
                  <c:v>55.029089473444465</c:v>
                </c:pt>
                <c:pt idx="964">
                  <c:v>55.02930837999547</c:v>
                </c:pt>
                <c:pt idx="965">
                  <c:v>55.029527284707214</c:v>
                </c:pt>
                <c:pt idx="966">
                  <c:v>55.029746187579704</c:v>
                </c:pt>
                <c:pt idx="967">
                  <c:v>55.029965088612933</c:v>
                </c:pt>
                <c:pt idx="968">
                  <c:v>55.030183987806907</c:v>
                </c:pt>
                <c:pt idx="969">
                  <c:v>55.030402885161664</c:v>
                </c:pt>
                <c:pt idx="970">
                  <c:v>55.030621780677151</c:v>
                </c:pt>
                <c:pt idx="971">
                  <c:v>55.030840674353421</c:v>
                </c:pt>
                <c:pt idx="972">
                  <c:v>55.031059566190443</c:v>
                </c:pt>
                <c:pt idx="973">
                  <c:v>55.031278456188232</c:v>
                </c:pt>
                <c:pt idx="974">
                  <c:v>55.031497344346775</c:v>
                </c:pt>
                <c:pt idx="975">
                  <c:v>55.031716230666099</c:v>
                </c:pt>
                <c:pt idx="976">
                  <c:v>55.03193511514619</c:v>
                </c:pt>
                <c:pt idx="977">
                  <c:v>55.03215399778707</c:v>
                </c:pt>
                <c:pt idx="978">
                  <c:v>55.032372878588696</c:v>
                </c:pt>
                <c:pt idx="979">
                  <c:v>55.032591757551089</c:v>
                </c:pt>
                <c:pt idx="980">
                  <c:v>55.032810634674298</c:v>
                </c:pt>
                <c:pt idx="981">
                  <c:v>55.033029509958268</c:v>
                </c:pt>
                <c:pt idx="982">
                  <c:v>55.03324838340302</c:v>
                </c:pt>
                <c:pt idx="983">
                  <c:v>55.033467255008595</c:v>
                </c:pt>
                <c:pt idx="984">
                  <c:v>55.033686124774917</c:v>
                </c:pt>
                <c:pt idx="985">
                  <c:v>55.033904992702041</c:v>
                </c:pt>
                <c:pt idx="986">
                  <c:v>55.034123858789926</c:v>
                </c:pt>
                <c:pt idx="987">
                  <c:v>55.034342723038634</c:v>
                </c:pt>
                <c:pt idx="988">
                  <c:v>55.034561585448166</c:v>
                </c:pt>
                <c:pt idx="989">
                  <c:v>55.034780446018445</c:v>
                </c:pt>
                <c:pt idx="990">
                  <c:v>55.034999304749554</c:v>
                </c:pt>
                <c:pt idx="991">
                  <c:v>55.035218161641474</c:v>
                </c:pt>
                <c:pt idx="992">
                  <c:v>55.035437016694182</c:v>
                </c:pt>
                <c:pt idx="993">
                  <c:v>55.035655869907707</c:v>
                </c:pt>
                <c:pt idx="994">
                  <c:v>55.035874721282028</c:v>
                </c:pt>
                <c:pt idx="995">
                  <c:v>55.036093570817179</c:v>
                </c:pt>
                <c:pt idx="996">
                  <c:v>55.03631241851312</c:v>
                </c:pt>
                <c:pt idx="997">
                  <c:v>55.036531264369877</c:v>
                </c:pt>
                <c:pt idx="998">
                  <c:v>55.036750108387501</c:v>
                </c:pt>
                <c:pt idx="999">
                  <c:v>55.0369689505659</c:v>
                </c:pt>
                <c:pt idx="1000">
                  <c:v>55.037187790905115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C4-48D6-934B-5D8E03168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00672"/>
        <c:axId val="149502592"/>
      </c:scatterChart>
      <c:valAx>
        <c:axId val="1495006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502592"/>
        <c:crosses val="autoZero"/>
        <c:crossBetween val="midCat"/>
      </c:valAx>
      <c:valAx>
        <c:axId val="14950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Forces [N]</a:t>
                </a:r>
              </a:p>
            </c:rich>
          </c:tx>
          <c:layout>
            <c:manualLayout>
              <c:xMode val="edge"/>
              <c:yMode val="edge"/>
              <c:x val="2.0047169811320761E-2"/>
              <c:y val="0.3333343832020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5006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018929827167842"/>
          <c:y val="0.34444479440069992"/>
          <c:w val="0.13050326845936713"/>
          <c:h val="0.2288888888888888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Courbes!$B$140</c:f>
          <c:strCache>
            <c:ptCount val="1"/>
            <c:pt idx="0">
              <c:v>Vitesse</c:v>
            </c:pt>
          </c:strCache>
        </c:strRef>
      </c:tx>
      <c:overlay val="1"/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495283018867926"/>
          <c:y val="9.4771544282144501E-2"/>
          <c:w val="0.87617924528302116"/>
          <c:h val="0.74183243282920064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Courbes!$B$140</c:f>
              <c:strCache>
                <c:ptCount val="1"/>
                <c:pt idx="0">
                  <c:v>Vitesse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Calculs!$I$4:$I$1004</c:f>
              <c:numCache>
                <c:formatCode>0.00</c:formatCode>
                <c:ptCount val="1001"/>
                <c:pt idx="0">
                  <c:v>0</c:v>
                </c:pt>
                <c:pt idx="1">
                  <c:v>1.5532749433502956E-2</c:v>
                </c:pt>
                <c:pt idx="2">
                  <c:v>0.25764234505302902</c:v>
                </c:pt>
                <c:pt idx="3">
                  <c:v>0.72647025455818381</c:v>
                </c:pt>
                <c:pt idx="4">
                  <c:v>1.4222341645056127</c:v>
                </c:pt>
                <c:pt idx="5">
                  <c:v>2.3452270245892732</c:v>
                </c:pt>
                <c:pt idx="6">
                  <c:v>3.3809242074715358</c:v>
                </c:pt>
                <c:pt idx="7">
                  <c:v>4.4145574938820209</c:v>
                </c:pt>
                <c:pt idx="8">
                  <c:v>5.4461146839617243</c:v>
                </c:pt>
                <c:pt idx="9">
                  <c:v>6.4755836163822087</c:v>
                </c:pt>
                <c:pt idx="10">
                  <c:v>7.5029521688732448</c:v>
                </c:pt>
                <c:pt idx="11">
                  <c:v>8.528208258747151</c:v>
                </c:pt>
                <c:pt idx="12">
                  <c:v>9.5513398434197505</c:v>
                </c:pt>
                <c:pt idx="13">
                  <c:v>10.572334920927908</c:v>
                </c:pt>
                <c:pt idx="14">
                  <c:v>11.591181530443597</c:v>
                </c:pt>
                <c:pt idx="15">
                  <c:v>12.607867752784435</c:v>
                </c:pt>
                <c:pt idx="16">
                  <c:v>13.622381710920628</c:v>
                </c:pt>
                <c:pt idx="17">
                  <c:v>14.634711570478304</c:v>
                </c:pt>
                <c:pt idx="18">
                  <c:v>15.644845540239146</c:v>
                </c:pt>
                <c:pt idx="19">
                  <c:v>16.652771872636322</c:v>
                </c:pt>
                <c:pt idx="20">
                  <c:v>17.6584788642466</c:v>
                </c:pt>
                <c:pt idx="21">
                  <c:v>18.661954856278665</c:v>
                </c:pt>
                <c:pt idx="22">
                  <c:v>19.663188235057561</c:v>
                </c:pt>
                <c:pt idx="23">
                  <c:v>20.662167432505186</c:v>
                </c:pt>
                <c:pt idx="24">
                  <c:v>21.658880926616845</c:v>
                </c:pt>
                <c:pt idx="25">
                  <c:v>22.653317241933781</c:v>
                </c:pt>
                <c:pt idx="26">
                  <c:v>23.645464950011654</c:v>
                </c:pt>
                <c:pt idx="27">
                  <c:v>24.635312669884886</c:v>
                </c:pt>
                <c:pt idx="28">
                  <c:v>25.622849068526904</c:v>
                </c:pt>
                <c:pt idx="29">
                  <c:v>26.608062861306156</c:v>
                </c:pt>
                <c:pt idx="30">
                  <c:v>27.59094281243793</c:v>
                </c:pt>
                <c:pt idx="31">
                  <c:v>28.571477735431845</c:v>
                </c:pt>
                <c:pt idx="32">
                  <c:v>29.549657691180794</c:v>
                </c:pt>
                <c:pt idx="33">
                  <c:v>30.525472841292448</c:v>
                </c:pt>
                <c:pt idx="34">
                  <c:v>31.498912087582049</c:v>
                </c:pt>
                <c:pt idx="35">
                  <c:v>32.469964386433219</c:v>
                </c:pt>
                <c:pt idx="36">
                  <c:v>33.438618748906507</c:v>
                </c:pt>
                <c:pt idx="37">
                  <c:v>34.404864240889765</c:v>
                </c:pt>
                <c:pt idx="38">
                  <c:v>35.368689983273875</c:v>
                </c:pt>
                <c:pt idx="39">
                  <c:v>36.330085152149607</c:v>
                </c:pt>
                <c:pt idx="40">
                  <c:v>37.289038979022358</c:v>
                </c:pt>
                <c:pt idx="41">
                  <c:v>38.245540751041773</c:v>
                </c:pt>
                <c:pt idx="42">
                  <c:v>39.199579811243765</c:v>
                </c:pt>
                <c:pt idx="43">
                  <c:v>40.151145558802867</c:v>
                </c:pt>
                <c:pt idx="44">
                  <c:v>41.100227449293079</c:v>
                </c:pt>
                <c:pt idx="45">
                  <c:v>42.04681499495566</c:v>
                </c:pt>
                <c:pt idx="46">
                  <c:v>42.990897764972495</c:v>
                </c:pt>
                <c:pt idx="47">
                  <c:v>43.932465385743839</c:v>
                </c:pt>
                <c:pt idx="48">
                  <c:v>44.8715075411695</c:v>
                </c:pt>
                <c:pt idx="49">
                  <c:v>45.8080139729324</c:v>
                </c:pt>
                <c:pt idx="50">
                  <c:v>46.741974480783931</c:v>
                </c:pt>
                <c:pt idx="51">
                  <c:v>47.673985518722475</c:v>
                </c:pt>
                <c:pt idx="52">
                  <c:v>48.604644625199626</c:v>
                </c:pt>
                <c:pt idx="53">
                  <c:v>49.533943175282516</c:v>
                </c:pt>
                <c:pt idx="54">
                  <c:v>50.461872570270778</c:v>
                </c:pt>
                <c:pt idx="55">
                  <c:v>51.388424237971279</c:v>
                </c:pt>
                <c:pt idx="56">
                  <c:v>52.313589632974342</c:v>
                </c:pt>
                <c:pt idx="57">
                  <c:v>53.237360236931003</c:v>
                </c:pt>
                <c:pt idx="58">
                  <c:v>54.159727558831129</c:v>
                </c:pt>
                <c:pt idx="59">
                  <c:v>55.080683135282072</c:v>
                </c:pt>
                <c:pt idx="60">
                  <c:v>56.000218530787677</c:v>
                </c:pt>
                <c:pt idx="61">
                  <c:v>56.918325338027373</c:v>
                </c:pt>
                <c:pt idx="62">
                  <c:v>57.834995178135237</c:v>
                </c:pt>
                <c:pt idx="63">
                  <c:v>58.750219700978739</c:v>
                </c:pt>
                <c:pt idx="64">
                  <c:v>59.663990585437105</c:v>
                </c:pt>
                <c:pt idx="65">
                  <c:v>60.576299539679141</c:v>
                </c:pt>
                <c:pt idx="66">
                  <c:v>61.487138301440218</c:v>
                </c:pt>
                <c:pt idx="67">
                  <c:v>62.396498638298617</c:v>
                </c:pt>
                <c:pt idx="68">
                  <c:v>63.304372347950711</c:v>
                </c:pt>
                <c:pt idx="69">
                  <c:v>64.21075125848526</c:v>
                </c:pt>
                <c:pt idx="70">
                  <c:v>65.115627228656365</c:v>
                </c:pt>
                <c:pt idx="71">
                  <c:v>66.018992148155334</c:v>
                </c:pt>
                <c:pt idx="72">
                  <c:v>66.920837937881046</c:v>
                </c:pt>
                <c:pt idx="73">
                  <c:v>67.821156550208912</c:v>
                </c:pt>
                <c:pt idx="74">
                  <c:v>68.719939969258405</c:v>
                </c:pt>
                <c:pt idx="75">
                  <c:v>69.617180211158924</c:v>
                </c:pt>
                <c:pt idx="76">
                  <c:v>70.51286932431394</c:v>
                </c:pt>
                <c:pt idx="77">
                  <c:v>71.406999389663568</c:v>
                </c:pt>
                <c:pt idx="78">
                  <c:v>72.299562520945202</c:v>
                </c:pt>
                <c:pt idx="79">
                  <c:v>73.190550864952442</c:v>
                </c:pt>
                <c:pt idx="80">
                  <c:v>74.079956601791977</c:v>
                </c:pt>
                <c:pt idx="81">
                  <c:v>74.967771945138665</c:v>
                </c:pt>
                <c:pt idx="82">
                  <c:v>75.85398914248853</c:v>
                </c:pt>
                <c:pt idx="83">
                  <c:v>76.738600475409626</c:v>
                </c:pt>
                <c:pt idx="84">
                  <c:v>77.621598259791057</c:v>
                </c:pt>
                <c:pt idx="85">
                  <c:v>78.502974846089586</c:v>
                </c:pt>
                <c:pt idx="86">
                  <c:v>79.382722619574267</c:v>
                </c:pt>
                <c:pt idx="87">
                  <c:v>80.26083400056875</c:v>
                </c:pt>
                <c:pt idx="88">
                  <c:v>81.137301444691374</c:v>
                </c:pt>
                <c:pt idx="89">
                  <c:v>82.012117443092976</c:v>
                </c:pt>
                <c:pt idx="90">
                  <c:v>82.885274522692413</c:v>
                </c:pt>
                <c:pt idx="91">
                  <c:v>83.756765246409657</c:v>
                </c:pt>
                <c:pt idx="92">
                  <c:v>84.626582213396546</c:v>
                </c:pt>
                <c:pt idx="93">
                  <c:v>85.494718059265139</c:v>
                </c:pt>
                <c:pt idx="94">
                  <c:v>86.361165456313614</c:v>
                </c:pt>
                <c:pt idx="95">
                  <c:v>87.225917113749716</c:v>
                </c:pt>
                <c:pt idx="96">
                  <c:v>88.088965777911625</c:v>
                </c:pt>
                <c:pt idx="97">
                  <c:v>88.950304232486474</c:v>
                </c:pt>
                <c:pt idx="98">
                  <c:v>89.809925298726114</c:v>
                </c:pt>
                <c:pt idx="99">
                  <c:v>90.667821835660533</c:v>
                </c:pt>
                <c:pt idx="100">
                  <c:v>91.523986740308487</c:v>
                </c:pt>
                <c:pt idx="101">
                  <c:v>92.378132301893345</c:v>
                </c:pt>
                <c:pt idx="102">
                  <c:v>93.229970511376294</c:v>
                </c:pt>
                <c:pt idx="103">
                  <c:v>94.079493994440114</c:v>
                </c:pt>
                <c:pt idx="104">
                  <c:v>94.92669543020159</c:v>
                </c:pt>
                <c:pt idx="105">
                  <c:v>95.771567551386397</c:v>
                </c:pt>
                <c:pt idx="106">
                  <c:v>96.614103144499779</c:v>
                </c:pt>
                <c:pt idx="107">
                  <c:v>97.454295049993505</c:v>
                </c:pt>
                <c:pt idx="108">
                  <c:v>98.292136162428577</c:v>
                </c:pt>
                <c:pt idx="109">
                  <c:v>99.12761943063407</c:v>
                </c:pt>
                <c:pt idx="110">
                  <c:v>99.960737857861972</c:v>
                </c:pt>
                <c:pt idx="111">
                  <c:v>100.79148450193784</c:v>
                </c:pt>
                <c:pt idx="112">
                  <c:v>101.61985247540764</c:v>
                </c:pt>
                <c:pt idx="113">
                  <c:v>102.44583494568033</c:v>
                </c:pt>
                <c:pt idx="114">
                  <c:v>103.26942513516657</c:v>
                </c:pt>
                <c:pt idx="115">
                  <c:v>104.09061632141331</c:v>
                </c:pt>
                <c:pt idx="116">
                  <c:v>104.9094018372343</c:v>
                </c:pt>
                <c:pt idx="117">
                  <c:v>105.72577507083658</c:v>
                </c:pt>
                <c:pt idx="118">
                  <c:v>106.53972946594294</c:v>
                </c:pt>
                <c:pt idx="119">
                  <c:v>107.35125852191035</c:v>
                </c:pt>
                <c:pt idx="120">
                  <c:v>108.16035579384412</c:v>
                </c:pt>
                <c:pt idx="121">
                  <c:v>108.96701489270831</c:v>
                </c:pt>
                <c:pt idx="122">
                  <c:v>109.77122948543186</c:v>
                </c:pt>
                <c:pt idx="123">
                  <c:v>110.5729932950108</c:v>
                </c:pt>
                <c:pt idx="124">
                  <c:v>111.37230010060628</c:v>
                </c:pt>
                <c:pt idx="125">
                  <c:v>112.16914373763862</c:v>
                </c:pt>
                <c:pt idx="126">
                  <c:v>112.96351809787741</c:v>
                </c:pt>
                <c:pt idx="127">
                  <c:v>113.75541712952734</c:v>
                </c:pt>
                <c:pt idx="128">
                  <c:v>114.5448348373102</c:v>
                </c:pt>
                <c:pt idx="129">
                  <c:v>115.33176528254275</c:v>
                </c:pt>
                <c:pt idx="130">
                  <c:v>116.11620258321054</c:v>
                </c:pt>
                <c:pt idx="131">
                  <c:v>116.89814091403782</c:v>
                </c:pt>
                <c:pt idx="132">
                  <c:v>117.67757450655334</c:v>
                </c:pt>
                <c:pt idx="133">
                  <c:v>118.45449764915216</c:v>
                </c:pt>
                <c:pt idx="134">
                  <c:v>119.22890468715345</c:v>
                </c:pt>
                <c:pt idx="135">
                  <c:v>120.0007900228544</c:v>
                </c:pt>
                <c:pt idx="136">
                  <c:v>120.77014811558001</c:v>
                </c:pt>
                <c:pt idx="137">
                  <c:v>121.53697348172898</c:v>
                </c:pt>
                <c:pt idx="138">
                  <c:v>122.30126069481565</c:v>
                </c:pt>
                <c:pt idx="139">
                  <c:v>123.06300438550799</c:v>
                </c:pt>
                <c:pt idx="140">
                  <c:v>123.82219924166161</c:v>
                </c:pt>
                <c:pt idx="141">
                  <c:v>124.57884000834981</c:v>
                </c:pt>
                <c:pt idx="142">
                  <c:v>125.33292148788996</c:v>
                </c:pt>
                <c:pt idx="143">
                  <c:v>126.08443853986556</c:v>
                </c:pt>
                <c:pt idx="144">
                  <c:v>126.83338608114482</c:v>
                </c:pt>
                <c:pt idx="145">
                  <c:v>127.57975908589509</c:v>
                </c:pt>
                <c:pt idx="146">
                  <c:v>128.32355258559357</c:v>
                </c:pt>
                <c:pt idx="147">
                  <c:v>129.06476166903417</c:v>
                </c:pt>
                <c:pt idx="148">
                  <c:v>129.80338148233037</c:v>
                </c:pt>
                <c:pt idx="149">
                  <c:v>130.53940722891451</c:v>
                </c:pt>
                <c:pt idx="150">
                  <c:v>131.27283416953318</c:v>
                </c:pt>
                <c:pt idx="151">
                  <c:v>132.00375340405327</c:v>
                </c:pt>
                <c:pt idx="152">
                  <c:v>132.73225615310233</c:v>
                </c:pt>
                <c:pt idx="153">
                  <c:v>133.4583378868403</c:v>
                </c:pt>
                <c:pt idx="154">
                  <c:v>134.18199412798131</c:v>
                </c:pt>
                <c:pt idx="155">
                  <c:v>134.9032204517911</c:v>
                </c:pt>
                <c:pt idx="156">
                  <c:v>135.62201248608096</c:v>
                </c:pt>
                <c:pt idx="157">
                  <c:v>136.33836591119851</c:v>
                </c:pt>
                <c:pt idx="158">
                  <c:v>137.05227646001521</c:v>
                </c:pt>
                <c:pt idx="159">
                  <c:v>137.76373991791039</c:v>
                </c:pt>
                <c:pt idx="160">
                  <c:v>138.4727521227519</c:v>
                </c:pt>
                <c:pt idx="161">
                  <c:v>139.17930896487397</c:v>
                </c:pt>
                <c:pt idx="162">
                  <c:v>139.88340638705131</c:v>
                </c:pt>
                <c:pt idx="163">
                  <c:v>140.58504038447009</c:v>
                </c:pt>
                <c:pt idx="164">
                  <c:v>141.28420700469593</c:v>
                </c:pt>
                <c:pt idx="165">
                  <c:v>141.98090234763831</c:v>
                </c:pt>
                <c:pt idx="166">
                  <c:v>142.67512256551214</c:v>
                </c:pt>
                <c:pt idx="167">
                  <c:v>143.36686386279604</c:v>
                </c:pt>
                <c:pt idx="168">
                  <c:v>144.05612249618727</c:v>
                </c:pt>
                <c:pt idx="169">
                  <c:v>144.74289477455372</c:v>
                </c:pt>
                <c:pt idx="170">
                  <c:v>145.42717705888293</c:v>
                </c:pt>
                <c:pt idx="171">
                  <c:v>146.1089657622276</c:v>
                </c:pt>
                <c:pt idx="172">
                  <c:v>146.78825734964846</c:v>
                </c:pt>
                <c:pt idx="173">
                  <c:v>147.46504833815362</c:v>
                </c:pt>
                <c:pt idx="174">
                  <c:v>148.13933529663544</c:v>
                </c:pt>
                <c:pt idx="175">
                  <c:v>148.81111484580387</c:v>
                </c:pt>
                <c:pt idx="176">
                  <c:v>149.48038365811701</c:v>
                </c:pt>
                <c:pt idx="177">
                  <c:v>150.14713845770876</c:v>
                </c:pt>
                <c:pt idx="178">
                  <c:v>150.81137602031339</c:v>
                </c:pt>
                <c:pt idx="179">
                  <c:v>151.47309317318715</c:v>
                </c:pt>
                <c:pt idx="180">
                  <c:v>152.13228679502723</c:v>
                </c:pt>
                <c:pt idx="181">
                  <c:v>152.78895381588731</c:v>
                </c:pt>
                <c:pt idx="182">
                  <c:v>153.44309121709088</c:v>
                </c:pt>
                <c:pt idx="183">
                  <c:v>154.09469603114118</c:v>
                </c:pt>
                <c:pt idx="184">
                  <c:v>154.74376534162846</c:v>
                </c:pt>
                <c:pt idx="185">
                  <c:v>155.39029628313469</c:v>
                </c:pt>
                <c:pt idx="186">
                  <c:v>156.0342860411352</c:v>
                </c:pt>
                <c:pt idx="187">
                  <c:v>156.67573185189755</c:v>
                </c:pt>
                <c:pt idx="188">
                  <c:v>157.31463100237792</c:v>
                </c:pt>
                <c:pt idx="189">
                  <c:v>157.95098083011442</c:v>
                </c:pt>
                <c:pt idx="190">
                  <c:v>158.58477872311815</c:v>
                </c:pt>
                <c:pt idx="191">
                  <c:v>159.21602211976116</c:v>
                </c:pt>
                <c:pt idx="192">
                  <c:v>159.84470850866199</c:v>
                </c:pt>
                <c:pt idx="193">
                  <c:v>160.47083542856873</c:v>
                </c:pt>
                <c:pt idx="194">
                  <c:v>161.09440046823906</c:v>
                </c:pt>
                <c:pt idx="195">
                  <c:v>161.71540126631811</c:v>
                </c:pt>
                <c:pt idx="196">
                  <c:v>162.33383551121375</c:v>
                </c:pt>
                <c:pt idx="197">
                  <c:v>162.94970094096894</c:v>
                </c:pt>
                <c:pt idx="198">
                  <c:v>163.5629953431322</c:v>
                </c:pt>
                <c:pt idx="199">
                  <c:v>164.17371655462503</c:v>
                </c:pt>
                <c:pt idx="200">
                  <c:v>164.7818624616074</c:v>
                </c:pt>
                <c:pt idx="201">
                  <c:v>165.38743099934035</c:v>
                </c:pt>
                <c:pt idx="202">
                  <c:v>165.99042015204651</c:v>
                </c:pt>
                <c:pt idx="203">
                  <c:v>166.59082795276808</c:v>
                </c:pt>
                <c:pt idx="204">
                  <c:v>167.18865248322257</c:v>
                </c:pt>
                <c:pt idx="205">
                  <c:v>167.78389187365613</c:v>
                </c:pt>
                <c:pt idx="206">
                  <c:v>168.37654430269473</c:v>
                </c:pt>
                <c:pt idx="207">
                  <c:v>168.96660799719277</c:v>
                </c:pt>
                <c:pt idx="208">
                  <c:v>169.55408123207988</c:v>
                </c:pt>
                <c:pt idx="209">
                  <c:v>170.13896233020509</c:v>
                </c:pt>
                <c:pt idx="210">
                  <c:v>170.72124966217891</c:v>
                </c:pt>
                <c:pt idx="211">
                  <c:v>171.3009416462136</c:v>
                </c:pt>
                <c:pt idx="212">
                  <c:v>171.87803674796078</c:v>
                </c:pt>
                <c:pt idx="213">
                  <c:v>172.45253348034717</c:v>
                </c:pt>
                <c:pt idx="214">
                  <c:v>173.02443040340839</c:v>
                </c:pt>
                <c:pt idx="215">
                  <c:v>173.59372612412031</c:v>
                </c:pt>
                <c:pt idx="216">
                  <c:v>174.16041929622881</c:v>
                </c:pt>
                <c:pt idx="217">
                  <c:v>174.72450862007724</c:v>
                </c:pt>
                <c:pt idx="218">
                  <c:v>175.28599284243191</c:v>
                </c:pt>
                <c:pt idx="219">
                  <c:v>175.84487075630577</c:v>
                </c:pt>
                <c:pt idx="220">
                  <c:v>176.40114120078005</c:v>
                </c:pt>
                <c:pt idx="221">
                  <c:v>176.95480306082402</c:v>
                </c:pt>
                <c:pt idx="222">
                  <c:v>177.50585526711299</c:v>
                </c:pt>
                <c:pt idx="223">
                  <c:v>178.05429679584421</c:v>
                </c:pt>
                <c:pt idx="224">
                  <c:v>178.60012666855118</c:v>
                </c:pt>
                <c:pt idx="225">
                  <c:v>179.14334395191608</c:v>
                </c:pt>
                <c:pt idx="226">
                  <c:v>179.6839477575804</c:v>
                </c:pt>
                <c:pt idx="227">
                  <c:v>180.2219372419539</c:v>
                </c:pt>
                <c:pt idx="228">
                  <c:v>180.75731160602186</c:v>
                </c:pt>
                <c:pt idx="229">
                  <c:v>181.29007009515044</c:v>
                </c:pt>
                <c:pt idx="230">
                  <c:v>181.82021199889081</c:v>
                </c:pt>
                <c:pt idx="231">
                  <c:v>182.34773665078106</c:v>
                </c:pt>
                <c:pt idx="232">
                  <c:v>182.87264342814711</c:v>
                </c:pt>
                <c:pt idx="233">
                  <c:v>183.39493175190168</c:v>
                </c:pt>
                <c:pt idx="234">
                  <c:v>183.91460108634152</c:v>
                </c:pt>
                <c:pt idx="235">
                  <c:v>184.43165093894382</c:v>
                </c:pt>
                <c:pt idx="236">
                  <c:v>184.94608086016032</c:v>
                </c:pt>
                <c:pt idx="237">
                  <c:v>185.45789044321052</c:v>
                </c:pt>
                <c:pt idx="238">
                  <c:v>185.96707932387304</c:v>
                </c:pt>
                <c:pt idx="239">
                  <c:v>186.47364718027592</c:v>
                </c:pt>
                <c:pt idx="240">
                  <c:v>186.97759373268531</c:v>
                </c:pt>
                <c:pt idx="241">
                  <c:v>187.4789187432927</c:v>
                </c:pt>
                <c:pt idx="242">
                  <c:v>187.97762201600113</c:v>
                </c:pt>
                <c:pt idx="243">
                  <c:v>188.47370339620988</c:v>
                </c:pt>
                <c:pt idx="244">
                  <c:v>188.96716277059781</c:v>
                </c:pt>
                <c:pt idx="245">
                  <c:v>189.45800006690558</c:v>
                </c:pt>
                <c:pt idx="246">
                  <c:v>189.94621525371667</c:v>
                </c:pt>
                <c:pt idx="247">
                  <c:v>190.4318083402369</c:v>
                </c:pt>
                <c:pt idx="248">
                  <c:v>190.91477937607323</c:v>
                </c:pt>
                <c:pt idx="249">
                  <c:v>191.395128451011</c:v>
                </c:pt>
                <c:pt idx="250">
                  <c:v>191.87285569479019</c:v>
                </c:pt>
                <c:pt idx="251">
                  <c:v>192.34754611325224</c:v>
                </c:pt>
                <c:pt idx="252">
                  <c:v>192.81878486285959</c:v>
                </c:pt>
                <c:pt idx="253">
                  <c:v>193.28657272731724</c:v>
                </c:pt>
                <c:pt idx="254">
                  <c:v>193.75091054502741</c:v>
                </c:pt>
                <c:pt idx="255">
                  <c:v>194.2117992087008</c:v>
                </c:pt>
                <c:pt idx="256">
                  <c:v>194.6692396649666</c:v>
                </c:pt>
                <c:pt idx="257">
                  <c:v>195.1232329139813</c:v>
                </c:pt>
                <c:pt idx="258">
                  <c:v>195.57378000903626</c:v>
                </c:pt>
                <c:pt idx="259">
                  <c:v>196.02088205616408</c:v>
                </c:pt>
                <c:pt idx="260">
                  <c:v>196.46454021374385</c:v>
                </c:pt>
                <c:pt idx="261">
                  <c:v>196.90475569210528</c:v>
                </c:pt>
                <c:pt idx="262">
                  <c:v>197.34152975313185</c:v>
                </c:pt>
                <c:pt idx="263">
                  <c:v>197.77486370986301</c:v>
                </c:pt>
                <c:pt idx="264">
                  <c:v>198.20475892609534</c:v>
                </c:pt>
                <c:pt idx="265">
                  <c:v>198.6312168159829</c:v>
                </c:pt>
                <c:pt idx="266">
                  <c:v>199.05423884363651</c:v>
                </c:pt>
                <c:pt idx="267">
                  <c:v>199.47382652272262</c:v>
                </c:pt>
                <c:pt idx="268">
                  <c:v>199.88998141606112</c:v>
                </c:pt>
                <c:pt idx="269">
                  <c:v>200.30270513522234</c:v>
                </c:pt>
                <c:pt idx="270">
                  <c:v>200.7119993401237</c:v>
                </c:pt>
                <c:pt idx="271">
                  <c:v>201.11786573862543</c:v>
                </c:pt>
                <c:pt idx="272">
                  <c:v>201.52030608612583</c:v>
                </c:pt>
                <c:pt idx="273">
                  <c:v>201.91932218515606</c:v>
                </c:pt>
                <c:pt idx="274">
                  <c:v>202.31491588497411</c:v>
                </c:pt>
                <c:pt idx="275">
                  <c:v>202.70708908115867</c:v>
                </c:pt>
                <c:pt idx="276">
                  <c:v>203.09584371520239</c:v>
                </c:pt>
                <c:pt idx="277">
                  <c:v>203.48118177410473</c:v>
                </c:pt>
                <c:pt idx="278">
                  <c:v>203.86310528996452</c:v>
                </c:pt>
                <c:pt idx="279">
                  <c:v>204.2416163395722</c:v>
                </c:pt>
                <c:pt idx="280">
                  <c:v>204.61671704400186</c:v>
                </c:pt>
                <c:pt idx="281">
                  <c:v>204.98840956820285</c:v>
                </c:pt>
                <c:pt idx="282">
                  <c:v>205.35669612059152</c:v>
                </c:pt>
                <c:pt idx="283">
                  <c:v>205.72157895264257</c:v>
                </c:pt>
                <c:pt idx="284">
                  <c:v>206.08306035848037</c:v>
                </c:pt>
                <c:pt idx="285">
                  <c:v>206.44114267447011</c:v>
                </c:pt>
                <c:pt idx="286">
                  <c:v>206.79582827880918</c:v>
                </c:pt>
                <c:pt idx="287">
                  <c:v>207.1471195911183</c:v>
                </c:pt>
                <c:pt idx="288">
                  <c:v>207.49501907203268</c:v>
                </c:pt>
                <c:pt idx="289">
                  <c:v>207.83952922279354</c:v>
                </c:pt>
                <c:pt idx="290">
                  <c:v>208.18065258483955</c:v>
                </c:pt>
                <c:pt idx="291">
                  <c:v>208.51839173939814</c:v>
                </c:pt>
                <c:pt idx="292">
                  <c:v>208.85274930707774</c:v>
                </c:pt>
                <c:pt idx="293">
                  <c:v>209.18372794745946</c:v>
                </c:pt>
                <c:pt idx="294">
                  <c:v>209.51133035868952</c:v>
                </c:pt>
                <c:pt idx="295">
                  <c:v>209.8355592770717</c:v>
                </c:pt>
                <c:pt idx="296">
                  <c:v>210.15641747666032</c:v>
                </c:pt>
                <c:pt idx="297">
                  <c:v>210.47390776885351</c:v>
                </c:pt>
                <c:pt idx="298">
                  <c:v>210.78346882796646</c:v>
                </c:pt>
                <c:pt idx="299">
                  <c:v>211.08054270278794</c:v>
                </c:pt>
                <c:pt idx="300">
                  <c:v>211.36514186530135</c:v>
                </c:pt>
                <c:pt idx="301">
                  <c:v>211.6372790827472</c:v>
                </c:pt>
                <c:pt idx="302">
                  <c:v>211.89696741269978</c:v>
                </c:pt>
                <c:pt idx="303">
                  <c:v>212.1442201981466</c:v>
                </c:pt>
                <c:pt idx="304">
                  <c:v>212.37905106257026</c:v>
                </c:pt>
                <c:pt idx="305">
                  <c:v>212.60147390503508</c:v>
                </c:pt>
                <c:pt idx="306">
                  <c:v>212.81150289527795</c:v>
                </c:pt>
                <c:pt idx="307">
                  <c:v>213.00915246880581</c:v>
                </c:pt>
                <c:pt idx="308">
                  <c:v>213.1944373219994</c:v>
                </c:pt>
                <c:pt idx="309">
                  <c:v>213.36737240722525</c:v>
                </c:pt>
                <c:pt idx="310">
                  <c:v>213.52797292795569</c:v>
                </c:pt>
                <c:pt idx="311">
                  <c:v>213.67625433389878</c:v>
                </c:pt>
                <c:pt idx="312">
                  <c:v>213.81223231613831</c:v>
                </c:pt>
                <c:pt idx="313">
                  <c:v>213.93592280228506</c:v>
                </c:pt>
                <c:pt idx="314">
                  <c:v>214.04734195163985</c:v>
                </c:pt>
                <c:pt idx="315">
                  <c:v>214.14650615036939</c:v>
                </c:pt>
                <c:pt idx="316">
                  <c:v>214.23343200669569</c:v>
                </c:pt>
                <c:pt idx="317">
                  <c:v>214.30813634609962</c:v>
                </c:pt>
                <c:pt idx="318">
                  <c:v>214.37063620653973</c:v>
                </c:pt>
                <c:pt idx="319">
                  <c:v>214.42094883368654</c:v>
                </c:pt>
                <c:pt idx="320">
                  <c:v>214.4590916761733</c:v>
                </c:pt>
                <c:pt idx="321">
                  <c:v>214.48689835854293</c:v>
                </c:pt>
                <c:pt idx="322">
                  <c:v>214.50620027676425</c:v>
                </c:pt>
                <c:pt idx="323">
                  <c:v>214.51700998660201</c:v>
                </c:pt>
                <c:pt idx="324">
                  <c:v>214.51934012791119</c:v>
                </c:pt>
                <c:pt idx="325">
                  <c:v>214.51320342236295</c:v>
                </c:pt>
                <c:pt idx="326">
                  <c:v>214.49861267118266</c:v>
                </c:pt>
                <c:pt idx="327">
                  <c:v>214.47558075289959</c:v>
                </c:pt>
                <c:pt idx="328">
                  <c:v>214.44412062110862</c:v>
                </c:pt>
                <c:pt idx="329">
                  <c:v>214.40424530224425</c:v>
                </c:pt>
                <c:pt idx="330">
                  <c:v>214.35596789336699</c:v>
                </c:pt>
                <c:pt idx="331">
                  <c:v>214.29930155996212</c:v>
                </c:pt>
                <c:pt idx="332">
                  <c:v>214.23425953375133</c:v>
                </c:pt>
                <c:pt idx="333">
                  <c:v>214.16085511051705</c:v>
                </c:pt>
                <c:pt idx="334">
                  <c:v>214.07910164793998</c:v>
                </c:pt>
                <c:pt idx="335">
                  <c:v>213.98901256344942</c:v>
                </c:pt>
                <c:pt idx="336">
                  <c:v>213.89060133208716</c:v>
                </c:pt>
                <c:pt idx="337">
                  <c:v>213.78388148438455</c:v>
                </c:pt>
                <c:pt idx="338">
                  <c:v>213.66886660425314</c:v>
                </c:pt>
                <c:pt idx="339">
                  <c:v>213.54557032688908</c:v>
                </c:pt>
                <c:pt idx="340">
                  <c:v>213.41400633669099</c:v>
                </c:pt>
                <c:pt idx="341">
                  <c:v>213.27418836519189</c:v>
                </c:pt>
                <c:pt idx="342">
                  <c:v>213.12613018900507</c:v>
                </c:pt>
                <c:pt idx="343">
                  <c:v>212.96984562778385</c:v>
                </c:pt>
                <c:pt idx="344">
                  <c:v>212.80534854219562</c:v>
                </c:pt>
                <c:pt idx="345">
                  <c:v>212.63265283191004</c:v>
                </c:pt>
                <c:pt idx="346">
                  <c:v>212.45177243360166</c:v>
                </c:pt>
                <c:pt idx="347">
                  <c:v>212.26272131896681</c:v>
                </c:pt>
                <c:pt idx="348">
                  <c:v>212.06570937619247</c:v>
                </c:pt>
                <c:pt idx="349">
                  <c:v>211.86094618053528</c:v>
                </c:pt>
                <c:pt idx="350">
                  <c:v>211.64844508881808</c:v>
                </c:pt>
                <c:pt idx="351">
                  <c:v>211.42821947943921</c:v>
                </c:pt>
                <c:pt idx="352">
                  <c:v>211.20028275065474</c:v>
                </c:pt>
                <c:pt idx="353">
                  <c:v>210.96464831887482</c:v>
                </c:pt>
                <c:pt idx="354">
                  <c:v>210.72132961697301</c:v>
                </c:pt>
                <c:pt idx="355">
                  <c:v>210.47034009260926</c:v>
                </c:pt>
                <c:pt idx="356">
                  <c:v>210.21169320656665</c:v>
                </c:pt>
                <c:pt idx="357">
                  <c:v>209.94540243110131</c:v>
                </c:pt>
                <c:pt idx="358">
                  <c:v>209.67148124830624</c:v>
                </c:pt>
                <c:pt idx="359">
                  <c:v>209.38994314848847</c:v>
                </c:pt>
                <c:pt idx="360">
                  <c:v>209.10487547283958</c:v>
                </c:pt>
                <c:pt idx="361">
                  <c:v>208.82035782489712</c:v>
                </c:pt>
                <c:pt idx="362">
                  <c:v>208.53638825502966</c:v>
                </c:pt>
                <c:pt idx="363">
                  <c:v>208.2529648227823</c:v>
                </c:pt>
                <c:pt idx="364">
                  <c:v>207.97008559682203</c:v>
                </c:pt>
                <c:pt idx="365">
                  <c:v>207.68774865488362</c:v>
                </c:pt>
                <c:pt idx="366">
                  <c:v>207.4059520837161</c:v>
                </c:pt>
                <c:pt idx="367">
                  <c:v>207.12469397902927</c:v>
                </c:pt>
                <c:pt idx="368">
                  <c:v>206.8439724454409</c:v>
                </c:pt>
                <c:pt idx="369">
                  <c:v>206.56378559642408</c:v>
                </c:pt>
                <c:pt idx="370">
                  <c:v>206.28413155425505</c:v>
                </c:pt>
                <c:pt idx="371">
                  <c:v>206.00500844996151</c:v>
                </c:pt>
                <c:pt idx="372">
                  <c:v>205.72641442327094</c:v>
                </c:pt>
                <c:pt idx="373">
                  <c:v>205.44834762255977</c:v>
                </c:pt>
                <c:pt idx="374">
                  <c:v>205.17080620480246</c:v>
                </c:pt>
                <c:pt idx="375">
                  <c:v>204.89378833552124</c:v>
                </c:pt>
                <c:pt idx="376">
                  <c:v>204.61729218873617</c:v>
                </c:pt>
                <c:pt idx="377">
                  <c:v>204.34131594691533</c:v>
                </c:pt>
                <c:pt idx="378">
                  <c:v>204.06585780092561</c:v>
                </c:pt>
                <c:pt idx="379">
                  <c:v>203.79091594998374</c:v>
                </c:pt>
                <c:pt idx="380">
                  <c:v>203.51648860160762</c:v>
                </c:pt>
                <c:pt idx="381">
                  <c:v>203.24257397156822</c:v>
                </c:pt>
                <c:pt idx="382">
                  <c:v>202.96917028384138</c:v>
                </c:pt>
                <c:pt idx="383">
                  <c:v>202.69627577056045</c:v>
                </c:pt>
                <c:pt idx="384">
                  <c:v>202.42388867196891</c:v>
                </c:pt>
                <c:pt idx="385">
                  <c:v>202.15200723637346</c:v>
                </c:pt>
                <c:pt idx="386">
                  <c:v>201.88062972009732</c:v>
                </c:pt>
                <c:pt idx="387">
                  <c:v>201.60975438743418</c:v>
                </c:pt>
                <c:pt idx="388">
                  <c:v>201.33937951060193</c:v>
                </c:pt>
                <c:pt idx="389">
                  <c:v>201.06950336969732</c:v>
                </c:pt>
                <c:pt idx="390">
                  <c:v>200.80012425265036</c:v>
                </c:pt>
                <c:pt idx="391">
                  <c:v>200.5312404551795</c:v>
                </c:pt>
                <c:pt idx="392">
                  <c:v>200.26285028074682</c:v>
                </c:pt>
                <c:pt idx="393">
                  <c:v>199.99495204051371</c:v>
                </c:pt>
                <c:pt idx="394">
                  <c:v>199.72754405329675</c:v>
                </c:pt>
                <c:pt idx="395">
                  <c:v>199.46062464552398</c:v>
                </c:pt>
                <c:pt idx="396">
                  <c:v>199.19419215119126</c:v>
                </c:pt>
                <c:pt idx="397">
                  <c:v>198.92824491181929</c:v>
                </c:pt>
                <c:pt idx="398">
                  <c:v>198.66278127641061</c:v>
                </c:pt>
                <c:pt idx="399">
                  <c:v>198.39779960140709</c:v>
                </c:pt>
                <c:pt idx="400">
                  <c:v>198.1332982506475</c:v>
                </c:pt>
                <c:pt idx="401">
                  <c:v>195.49310218635242</c:v>
                </c:pt>
                <c:pt idx="402">
                  <c:v>192.90024843563592</c:v>
                </c:pt>
                <c:pt idx="403">
                  <c:v>190.35315793117158</c:v>
                </c:pt>
                <c:pt idx="404">
                  <c:v>187.85032074375971</c:v>
                </c:pt>
                <c:pt idx="405">
                  <c:v>185.39029229463608</c:v>
                </c:pt>
                <c:pt idx="406">
                  <c:v>182.9716898156627</c:v>
                </c:pt>
                <c:pt idx="407">
                  <c:v>180.5931890386139</c:v>
                </c:pt>
                <c:pt idx="408">
                  <c:v>178.25352109638615</c:v>
                </c:pt>
                <c:pt idx="409">
                  <c:v>175.95146962042293</c:v>
                </c:pt>
                <c:pt idx="410">
                  <c:v>173.68586801996668</c:v>
                </c:pt>
                <c:pt idx="411">
                  <c:v>171.45559692994937</c:v>
                </c:pt>
                <c:pt idx="412">
                  <c:v>169.25958181542006</c:v>
                </c:pt>
                <c:pt idx="413">
                  <c:v>167.09679072139406</c:v>
                </c:pt>
                <c:pt idx="414">
                  <c:v>164.96623215790689</c:v>
                </c:pt>
                <c:pt idx="415">
                  <c:v>162.86695311087138</c:v>
                </c:pt>
                <c:pt idx="416">
                  <c:v>160.7980371700813</c:v>
                </c:pt>
                <c:pt idx="417">
                  <c:v>158.7586027663817</c:v>
                </c:pt>
                <c:pt idx="418">
                  <c:v>156.74780151064647</c:v>
                </c:pt>
                <c:pt idx="419">
                  <c:v>154.76481662776777</c:v>
                </c:pt>
                <c:pt idx="420">
                  <c:v>152.80886147938028</c:v>
                </c:pt>
                <c:pt idx="421">
                  <c:v>150.87917816951503</c:v>
                </c:pt>
                <c:pt idx="422">
                  <c:v>148.97503622781264</c:v>
                </c:pt>
                <c:pt idx="423">
                  <c:v>147.09573136532219</c:v>
                </c:pt>
                <c:pt idx="424">
                  <c:v>145.24058429827733</c:v>
                </c:pt>
                <c:pt idx="425">
                  <c:v>143.40893963557593</c:v>
                </c:pt>
                <c:pt idx="426">
                  <c:v>141.60016482599812</c:v>
                </c:pt>
                <c:pt idx="427">
                  <c:v>139.81364916148075</c:v>
                </c:pt>
                <c:pt idx="428">
                  <c:v>138.04880283302714</c:v>
                </c:pt>
                <c:pt idx="429">
                  <c:v>136.3050560360723</c:v>
                </c:pt>
                <c:pt idx="430">
                  <c:v>134.58185812234481</c:v>
                </c:pt>
                <c:pt idx="431">
                  <c:v>132.87867679547199</c:v>
                </c:pt>
                <c:pt idx="432">
                  <c:v>131.19499734776463</c:v>
                </c:pt>
                <c:pt idx="433">
                  <c:v>129.53032193579148</c:v>
                </c:pt>
                <c:pt idx="434">
                  <c:v>127.88416889251771</c:v>
                </c:pt>
                <c:pt idx="435">
                  <c:v>126.25607207392898</c:v>
                </c:pt>
                <c:pt idx="436">
                  <c:v>124.64558023820504</c:v>
                </c:pt>
                <c:pt idx="437">
                  <c:v>123.05225645563347</c:v>
                </c:pt>
                <c:pt idx="438">
                  <c:v>121.47567754757551</c:v>
                </c:pt>
                <c:pt idx="439">
                  <c:v>119.91543355290726</c:v>
                </c:pt>
                <c:pt idx="440">
                  <c:v>118.37112722046312</c:v>
                </c:pt>
                <c:pt idx="441">
                  <c:v>116.84237352610576</c:v>
                </c:pt>
                <c:pt idx="442">
                  <c:v>115.32879921313638</c:v>
                </c:pt>
                <c:pt idx="443">
                  <c:v>113.83004235484411</c:v>
                </c:pt>
                <c:pt idx="444">
                  <c:v>112.34575193807198</c:v>
                </c:pt>
                <c:pt idx="445">
                  <c:v>110.87558746675052</c:v>
                </c:pt>
                <c:pt idx="446">
                  <c:v>109.41921858441978</c:v>
                </c:pt>
                <c:pt idx="447">
                  <c:v>107.97632471482551</c:v>
                </c:pt>
                <c:pt idx="448">
                  <c:v>106.54659471973612</c:v>
                </c:pt>
                <c:pt idx="449">
                  <c:v>105.12972657318555</c:v>
                </c:pt>
                <c:pt idx="450">
                  <c:v>103.72542705140113</c:v>
                </c:pt>
                <c:pt idx="451">
                  <c:v>102.33341143772766</c:v>
                </c:pt>
                <c:pt idx="452">
                  <c:v>100.95340324190798</c:v>
                </c:pt>
                <c:pt idx="453">
                  <c:v>99.585133933126954</c:v>
                </c:pt>
                <c:pt idx="454">
                  <c:v>98.228342686271176</c:v>
                </c:pt>
                <c:pt idx="455">
                  <c:v>96.882776140898883</c:v>
                </c:pt>
                <c:pt idx="456">
                  <c:v>95.548188172456719</c:v>
                </c:pt>
                <c:pt idx="457">
                  <c:v>94.224339675319627</c:v>
                </c:pt>
                <c:pt idx="458">
                  <c:v>92.910998357269193</c:v>
                </c:pt>
                <c:pt idx="459">
                  <c:v>91.6079385450643</c:v>
                </c:pt>
                <c:pt idx="460">
                  <c:v>90.314941000794676</c:v>
                </c:pt>
                <c:pt idx="461">
                  <c:v>89.031792748745758</c:v>
                </c:pt>
                <c:pt idx="462">
                  <c:v>87.758286912539887</c:v>
                </c:pt>
                <c:pt idx="463">
                  <c:v>86.494222562355716</c:v>
                </c:pt>
                <c:pt idx="464">
                  <c:v>85.239404572065297</c:v>
                </c:pt>
                <c:pt idx="465">
                  <c:v>83.993643486166647</c:v>
                </c:pt>
                <c:pt idx="466">
                  <c:v>82.756755396427707</c:v>
                </c:pt>
                <c:pt idx="467">
                  <c:v>81.528561828198576</c:v>
                </c:pt>
                <c:pt idx="468">
                  <c:v>80.308889636390532</c:v>
                </c:pt>
                <c:pt idx="469">
                  <c:v>79.097570911163771</c:v>
                </c:pt>
                <c:pt idx="470">
                  <c:v>77.894442893412517</c:v>
                </c:pt>
                <c:pt idx="471">
                  <c:v>76.69934790018462</c:v>
                </c:pt>
                <c:pt idx="472">
                  <c:v>75.512133260225781</c:v>
                </c:pt>
                <c:pt idx="473">
                  <c:v>74.332651259894376</c:v>
                </c:pt>
                <c:pt idx="474">
                  <c:v>73.160759099753847</c:v>
                </c:pt>
                <c:pt idx="475">
                  <c:v>71.996318862216356</c:v>
                </c:pt>
                <c:pt idx="476">
                  <c:v>70.839197490683105</c:v>
                </c:pt>
                <c:pt idx="477">
                  <c:v>69.689266780706475</c:v>
                </c:pt>
                <c:pt idx="478">
                  <c:v>68.546403383786782</c:v>
                </c:pt>
                <c:pt idx="479">
                  <c:v>67.410488824513195</c:v>
                </c:pt>
                <c:pt idx="480">
                  <c:v>66.281409531865677</c:v>
                </c:pt>
                <c:pt idx="481">
                  <c:v>65.159056885615158</c:v>
                </c:pt>
                <c:pt idx="482">
                  <c:v>64.043327278892434</c:v>
                </c:pt>
                <c:pt idx="483">
                  <c:v>62.934122198146916</c:v>
                </c:pt>
                <c:pt idx="484">
                  <c:v>61.831348321884427</c:v>
                </c:pt>
                <c:pt idx="485">
                  <c:v>60.734917639763438</c:v>
                </c:pt>
                <c:pt idx="486">
                  <c:v>59.644747593843327</c:v>
                </c:pt>
                <c:pt idx="487">
                  <c:v>58.560761244020718</c:v>
                </c:pt>
                <c:pt idx="488">
                  <c:v>57.482887459964935</c:v>
                </c:pt>
                <c:pt idx="489">
                  <c:v>56.411061142175562</c:v>
                </c:pt>
                <c:pt idx="490">
                  <c:v>55.345223475140649</c:v>
                </c:pt>
                <c:pt idx="491">
                  <c:v>54.285322215978653</c:v>
                </c:pt>
                <c:pt idx="492">
                  <c:v>53.231312022409732</c:v>
                </c:pt>
                <c:pt idx="493">
                  <c:v>52.183154824430353</c:v>
                </c:pt>
                <c:pt idx="494">
                  <c:v>51.140820244670664</c:v>
                </c:pt>
                <c:pt idx="495">
                  <c:v>50.104286073108184</c:v>
                </c:pt>
                <c:pt idx="496">
                  <c:v>49.073538802608432</c:v>
                </c:pt>
                <c:pt idx="497">
                  <c:v>48.048574232679357</c:v>
                </c:pt>
                <c:pt idx="498">
                  <c:v>47.029398149881303</c:v>
                </c:pt>
                <c:pt idx="499">
                  <c:v>46.016027094548896</c:v>
                </c:pt>
                <c:pt idx="500">
                  <c:v>45.008489224882005</c:v>
                </c:pt>
                <c:pt idx="501">
                  <c:v>44.006825291078741</c:v>
                </c:pt>
                <c:pt idx="502">
                  <c:v>43.011089734048227</c:v>
                </c:pt>
                <c:pt idx="503">
                  <c:v>42.021351925393184</c:v>
                </c:pt>
                <c:pt idx="504">
                  <c:v>41.037697567836048</c:v>
                </c:pt>
                <c:pt idx="505">
                  <c:v>40.060230278127086</c:v>
                </c:pt>
                <c:pt idx="506">
                  <c:v>39.089073377772685</c:v>
                </c:pt>
                <c:pt idx="507">
                  <c:v>38.124371920717856</c:v>
                </c:pt>
                <c:pt idx="508">
                  <c:v>37.166294991471034</c:v>
                </c:pt>
                <c:pt idx="509">
                  <c:v>36.215038312137601</c:v>
                </c:pt>
                <c:pt idx="510">
                  <c:v>35.270827202493692</c:v>
                </c:pt>
                <c:pt idx="511">
                  <c:v>34.333919943635721</c:v>
                </c:pt>
                <c:pt idx="512">
                  <c:v>33.404611602919019</c:v>
                </c:pt>
                <c:pt idx="513">
                  <c:v>32.48323838584659</c:v>
                </c:pt>
                <c:pt idx="514">
                  <c:v>31.570182589224764</c:v>
                </c:pt>
                <c:pt idx="515">
                  <c:v>30.665878239105901</c:v>
                </c:pt>
                <c:pt idx="516">
                  <c:v>29.770817506481556</c:v>
                </c:pt>
                <c:pt idx="517">
                  <c:v>28.885558002838149</c:v>
                </c:pt>
                <c:pt idx="518">
                  <c:v>28.010731065674189</c:v>
                </c:pt>
                <c:pt idx="519">
                  <c:v>27.147051149553093</c:v>
                </c:pt>
                <c:pt idx="520">
                  <c:v>26.295326439186159</c:v>
                </c:pt>
                <c:pt idx="521">
                  <c:v>25.456470794397301</c:v>
                </c:pt>
                <c:pt idx="522">
                  <c:v>24.631517118276033</c:v>
                </c:pt>
                <c:pt idx="523">
                  <c:v>23.821632203263782</c:v>
                </c:pt>
                <c:pt idx="524">
                  <c:v>23.028133046930893</c:v>
                </c:pt>
                <c:pt idx="525">
                  <c:v>22.252504528548489</c:v>
                </c:pt>
                <c:pt idx="526">
                  <c:v>21.496418184763417</c:v>
                </c:pt>
                <c:pt idx="527">
                  <c:v>20.761751600017455</c:v>
                </c:pt>
                <c:pt idx="528">
                  <c:v>20.050607614704855</c:v>
                </c:pt>
                <c:pt idx="529">
                  <c:v>19.365332131492508</c:v>
                </c:pt>
                <c:pt idx="530">
                  <c:v>18.708528753330924</c:v>
                </c:pt>
                <c:pt idx="531">
                  <c:v>18.08306781625809</c:v>
                </c:pt>
                <c:pt idx="532">
                  <c:v>17.492086617454863</c:v>
                </c:pt>
                <c:pt idx="533">
                  <c:v>16.938976867261506</c:v>
                </c:pt>
                <c:pt idx="534">
                  <c:v>16.427354772481969</c:v>
                </c:pt>
                <c:pt idx="535">
                  <c:v>15.961008942420246</c:v>
                </c:pt>
                <c:pt idx="536">
                  <c:v>15.543821846336495</c:v>
                </c:pt>
                <c:pt idx="537">
                  <c:v>15.179662230156993</c:v>
                </c:pt>
                <c:pt idx="538">
                  <c:v>14.872249026081064</c:v>
                </c:pt>
                <c:pt idx="539">
                  <c:v>14.624991879244536</c:v>
                </c:pt>
                <c:pt idx="540">
                  <c:v>14.440818972474629</c:v>
                </c:pt>
                <c:pt idx="541">
                  <c:v>14.322008207748583</c:v>
                </c:pt>
                <c:pt idx="542">
                  <c:v>14.270041345691116</c:v>
                </c:pt>
                <c:pt idx="543">
                  <c:v>14.285500754210211</c:v>
                </c:pt>
                <c:pt idx="544">
                  <c:v>14.36802407616784</c:v>
                </c:pt>
                <c:pt idx="545">
                  <c:v>14.516323896868988</c:v>
                </c:pt>
                <c:pt idx="546">
                  <c:v>14.728269345441735</c:v>
                </c:pt>
                <c:pt idx="547">
                  <c:v>15.001017251303162</c:v>
                </c:pt>
                <c:pt idx="548">
                  <c:v>15.331174406851751</c:v>
                </c:pt>
                <c:pt idx="549">
                  <c:v>15.714970797136379</c:v>
                </c:pt>
                <c:pt idx="550">
                  <c:v>16.148425964626639</c:v>
                </c:pt>
                <c:pt idx="551">
                  <c:v>16.627495535677383</c:v>
                </c:pt>
                <c:pt idx="552">
                  <c:v>17.148190604159506</c:v>
                </c:pt>
                <c:pt idx="553">
                  <c:v>17.706667754708409</c:v>
                </c:pt>
                <c:pt idx="554">
                  <c:v>18.299291254898041</c:v>
                </c:pt>
                <c:pt idx="555">
                  <c:v>18.922671186540203</c:v>
                </c:pt>
                <c:pt idx="556">
                  <c:v>19.573682238536332</c:v>
                </c:pt>
                <c:pt idx="557">
                  <c:v>20.249467923151954</c:v>
                </c:pt>
                <c:pt idx="558">
                  <c:v>20.947434479683789</c:v>
                </c:pt>
                <c:pt idx="559">
                  <c:v>21.665237990207249</c:v>
                </c:pt>
                <c:pt idx="560">
                  <c:v>22.400767448590919</c:v>
                </c:pt>
                <c:pt idx="561">
                  <c:v>23.152125807508739</c:v>
                </c:pt>
                <c:pt idx="562">
                  <c:v>23.917610428160231</c:v>
                </c:pt>
                <c:pt idx="563">
                  <c:v>24.695693884636622</c:v>
                </c:pt>
                <c:pt idx="564">
                  <c:v>25.485005719467996</c:v>
                </c:pt>
                <c:pt idx="565">
                  <c:v>26.284315490137889</c:v>
                </c:pt>
                <c:pt idx="566">
                  <c:v>27.092517267648589</c:v>
                </c:pt>
                <c:pt idx="567">
                  <c:v>27.908615628595307</c:v>
                </c:pt>
                <c:pt idx="568">
                  <c:v>28.731713105764843</c:v>
                </c:pt>
                <c:pt idx="569">
                  <c:v>29.56099901645543</c:v>
                </c:pt>
                <c:pt idx="570">
                  <c:v>30.395739562999339</c:v>
                </c:pt>
                <c:pt idx="571">
                  <c:v>31.235269089365563</c:v>
                </c:pt>
                <c:pt idx="572">
                  <c:v>32.078982376222534</c:v>
                </c:pt>
                <c:pt idx="573">
                  <c:v>32.926327860948795</c:v>
                </c:pt>
                <c:pt idx="574">
                  <c:v>33.776801676399877</c:v>
                </c:pt>
                <c:pt idx="575">
                  <c:v>34.629942411172365</c:v>
                </c:pt>
                <c:pt idx="576">
                  <c:v>35.485326503612924</c:v>
                </c:pt>
                <c:pt idx="577">
                  <c:v>36.342564191251689</c:v>
                </c:pt>
                <c:pt idx="578">
                  <c:v>37.201295946308711</c:v>
                </c:pt>
                <c:pt idx="579">
                  <c:v>38.06118933622087</c:v>
                </c:pt>
                <c:pt idx="580">
                  <c:v>38.921936255670033</c:v>
                </c:pt>
                <c:pt idx="581">
                  <c:v>39.783250483339827</c:v>
                </c:pt>
                <c:pt idx="582">
                  <c:v>40.644865522611404</c:v>
                </c:pt>
                <c:pt idx="583">
                  <c:v>41.506532690676124</c:v>
                </c:pt>
                <c:pt idx="584">
                  <c:v>42.368019425156113</c:v>
                </c:pt>
                <c:pt idx="585">
                  <c:v>43.229107781347558</c:v>
                </c:pt>
                <c:pt idx="586">
                  <c:v>44.089593096701932</c:v>
                </c:pt>
                <c:pt idx="587">
                  <c:v>44.94928280219905</c:v>
                </c:pt>
                <c:pt idx="588">
                  <c:v>45.807995362900478</c:v>
                </c:pt>
                <c:pt idx="589">
                  <c:v>46.665559332254098</c:v>
                </c:pt>
                <c:pt idx="590">
                  <c:v>47.521812506697252</c:v>
                </c:pt>
                <c:pt idx="591">
                  <c:v>48.376601168817388</c:v>
                </c:pt>
                <c:pt idx="592">
                  <c:v>49.229779408811872</c:v>
                </c:pt>
                <c:pt idx="593">
                  <c:v>50.081208515273268</c:v>
                </c:pt>
                <c:pt idx="594">
                  <c:v>50.930756427440699</c:v>
                </c:pt>
                <c:pt idx="595">
                  <c:v>51.77829724202482</c:v>
                </c:pt>
                <c:pt idx="596">
                  <c:v>52.623710768553842</c:v>
                </c:pt>
                <c:pt idx="597">
                  <c:v>53.466882127918502</c:v>
                </c:pt>
                <c:pt idx="598">
                  <c:v>54.307701389429923</c:v>
                </c:pt>
                <c:pt idx="599">
                  <c:v>55.146063242258087</c:v>
                </c:pt>
                <c:pt idx="600">
                  <c:v>55.981866697602619</c:v>
                </c:pt>
                <c:pt idx="601">
                  <c:v>56.815014818369967</c:v>
                </c:pt>
                <c:pt idx="602">
                  <c:v>57.64541447350063</c:v>
                </c:pt>
                <c:pt idx="603">
                  <c:v>58.472976114414038</c:v>
                </c:pt>
                <c:pt idx="604">
                  <c:v>59.297613571322536</c:v>
                </c:pt>
                <c:pt idx="605">
                  <c:v>60.119243867415676</c:v>
                </c:pt>
                <c:pt idx="606">
                  <c:v>60.937787049135046</c:v>
                </c:pt>
                <c:pt idx="607">
                  <c:v>61.753166030953544</c:v>
                </c:pt>
                <c:pt idx="608">
                  <c:v>62.565306453242975</c:v>
                </c:pt>
                <c:pt idx="609">
                  <c:v>63.374136551964739</c:v>
                </c:pt>
                <c:pt idx="610">
                  <c:v>64.179587039051114</c:v>
                </c:pt>
                <c:pt idx="611">
                  <c:v>64.981590992462714</c:v>
                </c:pt>
                <c:pt idx="612">
                  <c:v>65.78008375501193</c:v>
                </c:pt>
                <c:pt idx="613">
                  <c:v>66.575002841135131</c:v>
                </c:pt>
                <c:pt idx="614">
                  <c:v>67.366287850878535</c:v>
                </c:pt>
                <c:pt idx="615">
                  <c:v>68.153880390436385</c:v>
                </c:pt>
                <c:pt idx="616">
                  <c:v>68.937723998645041</c:v>
                </c:pt>
                <c:pt idx="617">
                  <c:v>69.7177640788953</c:v>
                </c:pt>
                <c:pt idx="618">
                  <c:v>70.49394783597694</c:v>
                </c:pt>
                <c:pt idx="619">
                  <c:v>71.266224217416706</c:v>
                </c:pt>
                <c:pt idx="620">
                  <c:v>72.034543858911903</c:v>
                </c:pt>
                <c:pt idx="621">
                  <c:v>72.798859033500037</c:v>
                </c:pt>
                <c:pt idx="622">
                  <c:v>73.559123604137667</c:v>
                </c:pt>
                <c:pt idx="623">
                  <c:v>74.315292979392623</c:v>
                </c:pt>
                <c:pt idx="624">
                  <c:v>75.067324071980281</c:v>
                </c:pt>
                <c:pt idx="625">
                  <c:v>75.815175259899377</c:v>
                </c:pt>
                <c:pt idx="626">
                  <c:v>76.558806349944803</c:v>
                </c:pt>
                <c:pt idx="627">
                  <c:v>77.298178543394798</c:v>
                </c:pt>
                <c:pt idx="628">
                  <c:v>78.033254403687621</c:v>
                </c:pt>
                <c:pt idx="629">
                  <c:v>78.763997825919702</c:v>
                </c:pt>
                <c:pt idx="630">
                  <c:v>79.490374008011258</c:v>
                </c:pt>
                <c:pt idx="631">
                  <c:v>80.212349423399118</c:v>
                </c:pt>
                <c:pt idx="632">
                  <c:v>80.929891795128754</c:v>
                </c:pt>
                <c:pt idx="633">
                  <c:v>81.642970071228049</c:v>
                </c:pt>
                <c:pt idx="634">
                  <c:v>82.351554401255797</c:v>
                </c:pt>
                <c:pt idx="635">
                  <c:v>83.055616113926575</c:v>
                </c:pt>
                <c:pt idx="636">
                  <c:v>83.75512769572245</c:v>
                </c:pt>
                <c:pt idx="637">
                  <c:v>84.450062770409062</c:v>
                </c:pt>
                <c:pt idx="638">
                  <c:v>85.140396079380551</c:v>
                </c:pt>
                <c:pt idx="639">
                  <c:v>85.826103462764706</c:v>
                </c:pt>
                <c:pt idx="640">
                  <c:v>86.507161841224317</c:v>
                </c:pt>
                <c:pt idx="641">
                  <c:v>87.183549198397202</c:v>
                </c:pt>
                <c:pt idx="642">
                  <c:v>87.855244563921275</c:v>
                </c:pt>
                <c:pt idx="643">
                  <c:v>88.522227996995966</c:v>
                </c:pt>
                <c:pt idx="644">
                  <c:v>89.184480570434872</c:v>
                </c:pt>
                <c:pt idx="645">
                  <c:v>89.841984355168961</c:v>
                </c:pt>
                <c:pt idx="646">
                  <c:v>90.494722405162065</c:v>
                </c:pt>
                <c:pt idx="647">
                  <c:v>91.142678742704419</c:v>
                </c:pt>
                <c:pt idx="648">
                  <c:v>91.785838344052351</c:v>
                </c:pt>
                <c:pt idx="649">
                  <c:v>92.424187125385004</c:v>
                </c:pt>
                <c:pt idx="650">
                  <c:v>93.057711929051536</c:v>
                </c:pt>
                <c:pt idx="651">
                  <c:v>93.686400510084241</c:v>
                </c:pt>
                <c:pt idx="652">
                  <c:v>94.310241522955209</c:v>
                </c:pt>
                <c:pt idx="653">
                  <c:v>94.92922450855626</c:v>
                </c:pt>
                <c:pt idx="654">
                  <c:v>95.543339881383105</c:v>
                </c:pt>
                <c:pt idx="655">
                  <c:v>96.152578916906961</c:v>
                </c:pt>
                <c:pt idx="656">
                  <c:v>96.756933739117756</c:v>
                </c:pt>
                <c:pt idx="657">
                  <c:v>97.356397308224885</c:v>
                </c:pt>
                <c:pt idx="658">
                  <c:v>97.95096340850246</c:v>
                </c:pt>
                <c:pt idx="659">
                  <c:v>98.540626636267163</c:v>
                </c:pt>
                <c:pt idx="660">
                  <c:v>99.125382387978362</c:v>
                </c:pt>
                <c:pt idx="661">
                  <c:v>99.70522684845038</c:v>
                </c:pt>
                <c:pt idx="662">
                  <c:v>100.28015697916841</c:v>
                </c:pt>
                <c:pt idx="663">
                  <c:v>100.85017050670012</c:v>
                </c:pt>
                <c:pt idx="664">
                  <c:v>101.4152659111959</c:v>
                </c:pt>
                <c:pt idx="665">
                  <c:v>101.9754424149711</c:v>
                </c:pt>
                <c:pt idx="666">
                  <c:v>102.53069997116492</c:v>
                </c:pt>
                <c:pt idx="667">
                  <c:v>103.08103925247077</c:v>
                </c:pt>
                <c:pt idx="668">
                  <c:v>103.6264616399334</c:v>
                </c:pt>
                <c:pt idx="669">
                  <c:v>104.1669692118092</c:v>
                </c:pt>
                <c:pt idx="670">
                  <c:v>104.70256473248584</c:v>
                </c:pt>
                <c:pt idx="671">
                  <c:v>105.23325164145855</c:v>
                </c:pt>
                <c:pt idx="672">
                  <c:v>105.7590340423603</c:v>
                </c:pt>
                <c:pt idx="673">
                  <c:v>106.27991669204373</c:v>
                </c:pt>
                <c:pt idx="674">
                  <c:v>106.79590498971297</c:v>
                </c:pt>
                <c:pt idx="675">
                  <c:v>107.30700496610385</c:v>
                </c:pt>
                <c:pt idx="676">
                  <c:v>107.81322327271135</c:v>
                </c:pt>
                <c:pt idx="677">
                  <c:v>108.31456717106339</c:v>
                </c:pt>
                <c:pt idx="678">
                  <c:v>108.81104452203999</c:v>
                </c:pt>
                <c:pt idx="679">
                  <c:v>109.30266377523793</c:v>
                </c:pt>
                <c:pt idx="680">
                  <c:v>109.78943395838014</c:v>
                </c:pt>
                <c:pt idx="681">
                  <c:v>110.27136466677017</c:v>
                </c:pt>
                <c:pt idx="682">
                  <c:v>110.7484660527916</c:v>
                </c:pt>
                <c:pt idx="683">
                  <c:v>111.22074881545316</c:v>
                </c:pt>
                <c:pt idx="684">
                  <c:v>111.68822418997942</c:v>
                </c:pt>
                <c:pt idx="685">
                  <c:v>112.15090393744816</c:v>
                </c:pt>
                <c:pt idx="686">
                  <c:v>112.60880033447499</c:v>
                </c:pt>
                <c:pt idx="687">
                  <c:v>113.06192616294587</c:v>
                </c:pt>
                <c:pt idx="688">
                  <c:v>113.51029469979875</c:v>
                </c:pt>
                <c:pt idx="689">
                  <c:v>113.95391970685519</c:v>
                </c:pt>
                <c:pt idx="690">
                  <c:v>114.39281542070292</c:v>
                </c:pt>
                <c:pt idx="691">
                  <c:v>114.82699654263091</c:v>
                </c:pt>
                <c:pt idx="692">
                  <c:v>115.25647822861755</c:v>
                </c:pt>
                <c:pt idx="693">
                  <c:v>115.68127607937393</c:v>
                </c:pt>
                <c:pt idx="694">
                  <c:v>116.10140613044284</c:v>
                </c:pt>
                <c:pt idx="695">
                  <c:v>116.51688484235527</c:v>
                </c:pt>
                <c:pt idx="696">
                  <c:v>116.92772909084567</c:v>
                </c:pt>
                <c:pt idx="697">
                  <c:v>117.33395615712733</c:v>
                </c:pt>
                <c:pt idx="698">
                  <c:v>117.73558371822914</c:v>
                </c:pt>
                <c:pt idx="699">
                  <c:v>118.13262983739553</c:v>
                </c:pt>
                <c:pt idx="700">
                  <c:v>118.52511295455069</c:v>
                </c:pt>
                <c:pt idx="701">
                  <c:v>118.91305187682862</c:v>
                </c:pt>
                <c:pt idx="702">
                  <c:v>119.29646576917021</c:v>
                </c:pt>
                <c:pt idx="703">
                  <c:v>119.67537414498935</c:v>
                </c:pt>
                <c:pt idx="704">
                  <c:v>120.04979685690867</c:v>
                </c:pt>
                <c:pt idx="705">
                  <c:v>120.41975408756704</c:v>
                </c:pt>
                <c:pt idx="706">
                  <c:v>120.78526634049965</c:v>
                </c:pt>
                <c:pt idx="707">
                  <c:v>121.14635443109229</c:v>
                </c:pt>
                <c:pt idx="708">
                  <c:v>121.50303947761132</c:v>
                </c:pt>
                <c:pt idx="709">
                  <c:v>121.85534289231006</c:v>
                </c:pt>
                <c:pt idx="710">
                  <c:v>122.20328637261353</c:v>
                </c:pt>
                <c:pt idx="711">
                  <c:v>122.54689189238242</c:v>
                </c:pt>
                <c:pt idx="712">
                  <c:v>122.88618169325744</c:v>
                </c:pt>
                <c:pt idx="713">
                  <c:v>123.2211782760856</c:v>
                </c:pt>
                <c:pt idx="714">
                  <c:v>123.55190439242908</c:v>
                </c:pt>
                <c:pt idx="715">
                  <c:v>123.87838303615823</c:v>
                </c:pt>
                <c:pt idx="716">
                  <c:v>124.20063743512948</c:v>
                </c:pt>
                <c:pt idx="717">
                  <c:v>124.51869104294929</c:v>
                </c:pt>
                <c:pt idx="718">
                  <c:v>124.83256753082509</c:v>
                </c:pt>
                <c:pt idx="719">
                  <c:v>125.14229077950438</c:v>
                </c:pt>
                <c:pt idx="720">
                  <c:v>125.44788487130241</c:v>
                </c:pt>
                <c:pt idx="721">
                  <c:v>125.74937408221992</c:v>
                </c:pt>
                <c:pt idx="722">
                  <c:v>126.04678287415109</c:v>
                </c:pt>
                <c:pt idx="723">
                  <c:v>126.34013588718315</c:v>
                </c:pt>
                <c:pt idx="724">
                  <c:v>126.6294579319879</c:v>
                </c:pt>
                <c:pt idx="725">
                  <c:v>126.91477398230593</c:v>
                </c:pt>
                <c:pt idx="726">
                  <c:v>127.19610916752444</c:v>
                </c:pt>
                <c:pt idx="727">
                  <c:v>127.47348876534886</c:v>
                </c:pt>
                <c:pt idx="728">
                  <c:v>127.74693819456917</c:v>
                </c:pt>
                <c:pt idx="729">
                  <c:v>128.01648300792121</c:v>
                </c:pt>
                <c:pt idx="730">
                  <c:v>128.28214888504354</c:v>
                </c:pt>
                <c:pt idx="731">
                  <c:v>128.54396162553041</c:v>
                </c:pt>
                <c:pt idx="732">
                  <c:v>128.80194714208079</c:v>
                </c:pt>
                <c:pt idx="733">
                  <c:v>129.05613145374437</c:v>
                </c:pt>
                <c:pt idx="734">
                  <c:v>129.30654067926432</c:v>
                </c:pt>
                <c:pt idx="735">
                  <c:v>129.55320103051744</c:v>
                </c:pt>
                <c:pt idx="736">
                  <c:v>129.79613880605172</c:v>
                </c:pt>
                <c:pt idx="737">
                  <c:v>130.03538038472144</c:v>
                </c:pt>
                <c:pt idx="738">
                  <c:v>130.27095221941997</c:v>
                </c:pt>
                <c:pt idx="739">
                  <c:v>130.50288083091056</c:v>
                </c:pt>
                <c:pt idx="740">
                  <c:v>130.7311928017549</c:v>
                </c:pt>
                <c:pt idx="741">
                  <c:v>130.9559147703396</c:v>
                </c:pt>
                <c:pt idx="742">
                  <c:v>131.17707342500032</c:v>
                </c:pt>
                <c:pt idx="743">
                  <c:v>131.39469549824392</c:v>
                </c:pt>
                <c:pt idx="744">
                  <c:v>131.60880776106836</c:v>
                </c:pt>
                <c:pt idx="745">
                  <c:v>131.8194370173797</c:v>
                </c:pt>
                <c:pt idx="746">
                  <c:v>132.02661009850678</c:v>
                </c:pt>
                <c:pt idx="747">
                  <c:v>132.23035385781316</c:v>
                </c:pt>
                <c:pt idx="748">
                  <c:v>132.43069516540547</c:v>
                </c:pt>
                <c:pt idx="749">
                  <c:v>132.62766090293889</c:v>
                </c:pt>
                <c:pt idx="750">
                  <c:v>132.82127795851849</c:v>
                </c:pt>
                <c:pt idx="751">
                  <c:v>133.01157322169678</c:v>
                </c:pt>
                <c:pt idx="752">
                  <c:v>133.19857357856677</c:v>
                </c:pt>
                <c:pt idx="753">
                  <c:v>133.38230590695014</c:v>
                </c:pt>
                <c:pt idx="754">
                  <c:v>133.56279707168014</c:v>
                </c:pt>
                <c:pt idx="755">
                  <c:v>133.56297433907429</c:v>
                </c:pt>
                <c:pt idx="756">
                  <c:v>133.56315160328703</c:v>
                </c:pt>
                <c:pt idx="757">
                  <c:v>133.56332886431832</c:v>
                </c:pt>
                <c:pt idx="758">
                  <c:v>133.56350612216826</c:v>
                </c:pt>
                <c:pt idx="759">
                  <c:v>133.56368337683679</c:v>
                </c:pt>
                <c:pt idx="760">
                  <c:v>133.56386062832402</c:v>
                </c:pt>
                <c:pt idx="761">
                  <c:v>133.56403787662995</c:v>
                </c:pt>
                <c:pt idx="762">
                  <c:v>133.56421512175459</c:v>
                </c:pt>
                <c:pt idx="763">
                  <c:v>133.56439236369795</c:v>
                </c:pt>
                <c:pt idx="764">
                  <c:v>133.5645696024601</c:v>
                </c:pt>
                <c:pt idx="765">
                  <c:v>133.56474683804103</c:v>
                </c:pt>
                <c:pt idx="766">
                  <c:v>133.56492407044078</c:v>
                </c:pt>
                <c:pt idx="767">
                  <c:v>133.5651012996594</c:v>
                </c:pt>
                <c:pt idx="768">
                  <c:v>133.5652785256969</c:v>
                </c:pt>
                <c:pt idx="769">
                  <c:v>133.56545574855329</c:v>
                </c:pt>
                <c:pt idx="770">
                  <c:v>133.56563296822858</c:v>
                </c:pt>
                <c:pt idx="771">
                  <c:v>133.56581018472286</c:v>
                </c:pt>
                <c:pt idx="772">
                  <c:v>133.56598739803613</c:v>
                </c:pt>
                <c:pt idx="773">
                  <c:v>133.56616460816841</c:v>
                </c:pt>
                <c:pt idx="774">
                  <c:v>133.5663418151197</c:v>
                </c:pt>
                <c:pt idx="775">
                  <c:v>133.56651901889006</c:v>
                </c:pt>
                <c:pt idx="776">
                  <c:v>133.5666962194795</c:v>
                </c:pt>
                <c:pt idx="777">
                  <c:v>133.56687341688809</c:v>
                </c:pt>
                <c:pt idx="778">
                  <c:v>133.5670506111158</c:v>
                </c:pt>
                <c:pt idx="779">
                  <c:v>133.56722780216268</c:v>
                </c:pt>
                <c:pt idx="780">
                  <c:v>133.56740499002873</c:v>
                </c:pt>
                <c:pt idx="781">
                  <c:v>133.56758217471409</c:v>
                </c:pt>
                <c:pt idx="782">
                  <c:v>133.56775935621863</c:v>
                </c:pt>
                <c:pt idx="783">
                  <c:v>133.56793653454244</c:v>
                </c:pt>
                <c:pt idx="784">
                  <c:v>133.56811370968555</c:v>
                </c:pt>
                <c:pt idx="785">
                  <c:v>133.56829088164801</c:v>
                </c:pt>
                <c:pt idx="786">
                  <c:v>133.56846805042983</c:v>
                </c:pt>
                <c:pt idx="787">
                  <c:v>133.56864521603103</c:v>
                </c:pt>
                <c:pt idx="788">
                  <c:v>133.56882237845161</c:v>
                </c:pt>
                <c:pt idx="789">
                  <c:v>133.56899953769161</c:v>
                </c:pt>
                <c:pt idx="790">
                  <c:v>133.5691766937511</c:v>
                </c:pt>
                <c:pt idx="791">
                  <c:v>133.56935384663007</c:v>
                </c:pt>
                <c:pt idx="792">
                  <c:v>133.56953099632855</c:v>
                </c:pt>
                <c:pt idx="793">
                  <c:v>133.56970814284657</c:v>
                </c:pt>
                <c:pt idx="794">
                  <c:v>133.56988528618416</c:v>
                </c:pt>
                <c:pt idx="795">
                  <c:v>133.57006242634134</c:v>
                </c:pt>
                <c:pt idx="796">
                  <c:v>133.57023956331815</c:v>
                </c:pt>
                <c:pt idx="797">
                  <c:v>133.57041669711461</c:v>
                </c:pt>
                <c:pt idx="798">
                  <c:v>133.57059382773073</c:v>
                </c:pt>
                <c:pt idx="799">
                  <c:v>133.57077095516655</c:v>
                </c:pt>
                <c:pt idx="800">
                  <c:v>133.57094807942212</c:v>
                </c:pt>
                <c:pt idx="801">
                  <c:v>133.57112520049742</c:v>
                </c:pt>
                <c:pt idx="802">
                  <c:v>133.57130231839253</c:v>
                </c:pt>
                <c:pt idx="803">
                  <c:v>133.57147943310741</c:v>
                </c:pt>
                <c:pt idx="804">
                  <c:v>133.57165654464211</c:v>
                </c:pt>
                <c:pt idx="805">
                  <c:v>133.5718336529967</c:v>
                </c:pt>
                <c:pt idx="806">
                  <c:v>133.57201075817119</c:v>
                </c:pt>
                <c:pt idx="807">
                  <c:v>133.57218786016554</c:v>
                </c:pt>
                <c:pt idx="808">
                  <c:v>133.57236495897985</c:v>
                </c:pt>
                <c:pt idx="809">
                  <c:v>133.57254205461416</c:v>
                </c:pt>
                <c:pt idx="810">
                  <c:v>133.57271914706845</c:v>
                </c:pt>
                <c:pt idx="811">
                  <c:v>133.57289623634276</c:v>
                </c:pt>
                <c:pt idx="812">
                  <c:v>133.5730733224371</c:v>
                </c:pt>
                <c:pt idx="813">
                  <c:v>133.5732504053515</c:v>
                </c:pt>
                <c:pt idx="814">
                  <c:v>133.573427485086</c:v>
                </c:pt>
                <c:pt idx="815">
                  <c:v>133.57360456164062</c:v>
                </c:pt>
                <c:pt idx="816">
                  <c:v>133.57378163501542</c:v>
                </c:pt>
                <c:pt idx="817">
                  <c:v>133.57395870521037</c:v>
                </c:pt>
                <c:pt idx="818">
                  <c:v>133.57413577222553</c:v>
                </c:pt>
                <c:pt idx="819">
                  <c:v>133.57431283606093</c:v>
                </c:pt>
                <c:pt idx="820">
                  <c:v>133.57448989671656</c:v>
                </c:pt>
                <c:pt idx="821">
                  <c:v>133.57466695419251</c:v>
                </c:pt>
                <c:pt idx="822">
                  <c:v>133.57484400848875</c:v>
                </c:pt>
                <c:pt idx="823">
                  <c:v>133.57502105960532</c:v>
                </c:pt>
                <c:pt idx="824">
                  <c:v>133.57519810754226</c:v>
                </c:pt>
                <c:pt idx="825">
                  <c:v>133.57537515229961</c:v>
                </c:pt>
                <c:pt idx="826">
                  <c:v>133.57555219387734</c:v>
                </c:pt>
                <c:pt idx="827">
                  <c:v>133.57572923227553</c:v>
                </c:pt>
                <c:pt idx="828">
                  <c:v>133.57590626749422</c:v>
                </c:pt>
                <c:pt idx="829">
                  <c:v>133.57608329953337</c:v>
                </c:pt>
                <c:pt idx="830">
                  <c:v>133.57626032839306</c:v>
                </c:pt>
                <c:pt idx="831">
                  <c:v>133.57643735407328</c:v>
                </c:pt>
                <c:pt idx="832">
                  <c:v>133.5766143765741</c:v>
                </c:pt>
                <c:pt idx="833">
                  <c:v>133.57679139589553</c:v>
                </c:pt>
                <c:pt idx="834">
                  <c:v>133.57696841203753</c:v>
                </c:pt>
                <c:pt idx="835">
                  <c:v>133.57714542500023</c:v>
                </c:pt>
                <c:pt idx="836">
                  <c:v>133.57732243478361</c:v>
                </c:pt>
                <c:pt idx="837">
                  <c:v>133.57749944138766</c:v>
                </c:pt>
                <c:pt idx="838">
                  <c:v>133.57767644481245</c:v>
                </c:pt>
                <c:pt idx="839">
                  <c:v>133.57785344505805</c:v>
                </c:pt>
                <c:pt idx="840">
                  <c:v>133.5780304421244</c:v>
                </c:pt>
                <c:pt idx="841">
                  <c:v>133.57820743601161</c:v>
                </c:pt>
                <c:pt idx="842">
                  <c:v>133.57838442671962</c:v>
                </c:pt>
                <c:pt idx="843">
                  <c:v>133.5785614142485</c:v>
                </c:pt>
                <c:pt idx="844">
                  <c:v>133.57873839859829</c:v>
                </c:pt>
                <c:pt idx="845">
                  <c:v>133.578915379769</c:v>
                </c:pt>
                <c:pt idx="846">
                  <c:v>133.57909235776063</c:v>
                </c:pt>
                <c:pt idx="847">
                  <c:v>133.57926933257326</c:v>
                </c:pt>
                <c:pt idx="848">
                  <c:v>133.57944630420687</c:v>
                </c:pt>
                <c:pt idx="849">
                  <c:v>133.57962327266151</c:v>
                </c:pt>
                <c:pt idx="850">
                  <c:v>133.57980023793721</c:v>
                </c:pt>
                <c:pt idx="851">
                  <c:v>133.57997720003399</c:v>
                </c:pt>
                <c:pt idx="852">
                  <c:v>133.58015415895187</c:v>
                </c:pt>
                <c:pt idx="853">
                  <c:v>133.58033111469089</c:v>
                </c:pt>
                <c:pt idx="854">
                  <c:v>133.58050806725106</c:v>
                </c:pt>
                <c:pt idx="855">
                  <c:v>133.58068501663243</c:v>
                </c:pt>
                <c:pt idx="856">
                  <c:v>133.58086196283503</c:v>
                </c:pt>
                <c:pt idx="857">
                  <c:v>133.58103890585883</c:v>
                </c:pt>
                <c:pt idx="858">
                  <c:v>133.58121584570392</c:v>
                </c:pt>
                <c:pt idx="859">
                  <c:v>133.5813927823703</c:v>
                </c:pt>
                <c:pt idx="860">
                  <c:v>133.581569715858</c:v>
                </c:pt>
                <c:pt idx="861">
                  <c:v>133.58174664616701</c:v>
                </c:pt>
                <c:pt idx="862">
                  <c:v>133.58192357329744</c:v>
                </c:pt>
                <c:pt idx="863">
                  <c:v>133.58210049724926</c:v>
                </c:pt>
                <c:pt idx="864">
                  <c:v>133.58227741802247</c:v>
                </c:pt>
                <c:pt idx="865">
                  <c:v>133.58245433561714</c:v>
                </c:pt>
                <c:pt idx="866">
                  <c:v>133.5826312500333</c:v>
                </c:pt>
                <c:pt idx="867">
                  <c:v>133.58280816127098</c:v>
                </c:pt>
                <c:pt idx="868">
                  <c:v>133.58298506933019</c:v>
                </c:pt>
                <c:pt idx="869">
                  <c:v>133.58316197421095</c:v>
                </c:pt>
                <c:pt idx="870">
                  <c:v>133.58333887591331</c:v>
                </c:pt>
                <c:pt idx="871">
                  <c:v>133.58351577443725</c:v>
                </c:pt>
                <c:pt idx="872">
                  <c:v>133.58369266978283</c:v>
                </c:pt>
                <c:pt idx="873">
                  <c:v>133.58386956195005</c:v>
                </c:pt>
                <c:pt idx="874">
                  <c:v>133.58404645093901</c:v>
                </c:pt>
                <c:pt idx="875">
                  <c:v>133.58422333674966</c:v>
                </c:pt>
                <c:pt idx="876">
                  <c:v>133.58440021938205</c:v>
                </c:pt>
                <c:pt idx="877">
                  <c:v>133.58457709883623</c:v>
                </c:pt>
                <c:pt idx="878">
                  <c:v>133.58475397511219</c:v>
                </c:pt>
                <c:pt idx="879">
                  <c:v>133.58493084821001</c:v>
                </c:pt>
                <c:pt idx="880">
                  <c:v>133.58510771812965</c:v>
                </c:pt>
                <c:pt idx="881">
                  <c:v>133.58528458487115</c:v>
                </c:pt>
                <c:pt idx="882">
                  <c:v>133.58546144843459</c:v>
                </c:pt>
                <c:pt idx="883">
                  <c:v>133.58563830881991</c:v>
                </c:pt>
                <c:pt idx="884">
                  <c:v>133.58581516602723</c:v>
                </c:pt>
                <c:pt idx="885">
                  <c:v>133.58599202005652</c:v>
                </c:pt>
                <c:pt idx="886">
                  <c:v>133.58616887090778</c:v>
                </c:pt>
                <c:pt idx="887">
                  <c:v>133.5863457185811</c:v>
                </c:pt>
                <c:pt idx="888">
                  <c:v>133.5865225630765</c:v>
                </c:pt>
                <c:pt idx="889">
                  <c:v>133.58669940439398</c:v>
                </c:pt>
                <c:pt idx="890">
                  <c:v>133.58687624253358</c:v>
                </c:pt>
                <c:pt idx="891">
                  <c:v>133.58705307749531</c:v>
                </c:pt>
                <c:pt idx="892">
                  <c:v>133.58722990927922</c:v>
                </c:pt>
                <c:pt idx="893">
                  <c:v>133.58740673788529</c:v>
                </c:pt>
                <c:pt idx="894">
                  <c:v>133.58758356331361</c:v>
                </c:pt>
                <c:pt idx="895">
                  <c:v>133.5877603855642</c:v>
                </c:pt>
                <c:pt idx="896">
                  <c:v>133.58793720463703</c:v>
                </c:pt>
                <c:pt idx="897">
                  <c:v>133.58811402053217</c:v>
                </c:pt>
                <c:pt idx="898">
                  <c:v>133.58829083324963</c:v>
                </c:pt>
                <c:pt idx="899">
                  <c:v>133.58846764278945</c:v>
                </c:pt>
                <c:pt idx="900">
                  <c:v>133.58864444915167</c:v>
                </c:pt>
                <c:pt idx="901">
                  <c:v>133.58882125233626</c:v>
                </c:pt>
                <c:pt idx="902">
                  <c:v>133.58899805234333</c:v>
                </c:pt>
                <c:pt idx="903">
                  <c:v>133.58917484917285</c:v>
                </c:pt>
                <c:pt idx="904">
                  <c:v>133.58935164282482</c:v>
                </c:pt>
                <c:pt idx="905">
                  <c:v>133.58952843329934</c:v>
                </c:pt>
                <c:pt idx="906">
                  <c:v>133.58970522059639</c:v>
                </c:pt>
                <c:pt idx="907">
                  <c:v>133.589882004716</c:v>
                </c:pt>
                <c:pt idx="908">
                  <c:v>133.59005878565819</c:v>
                </c:pt>
                <c:pt idx="909">
                  <c:v>133.59023556342302</c:v>
                </c:pt>
                <c:pt idx="910">
                  <c:v>133.59041233801048</c:v>
                </c:pt>
                <c:pt idx="911">
                  <c:v>133.59058910942062</c:v>
                </c:pt>
                <c:pt idx="912">
                  <c:v>133.59076587765347</c:v>
                </c:pt>
                <c:pt idx="913">
                  <c:v>133.59094264270902</c:v>
                </c:pt>
                <c:pt idx="914">
                  <c:v>133.59111940458732</c:v>
                </c:pt>
                <c:pt idx="915">
                  <c:v>133.5912961632884</c:v>
                </c:pt>
                <c:pt idx="916">
                  <c:v>133.59147291881234</c:v>
                </c:pt>
                <c:pt idx="917">
                  <c:v>133.59164967115908</c:v>
                </c:pt>
                <c:pt idx="918">
                  <c:v>133.59182642032863</c:v>
                </c:pt>
                <c:pt idx="919">
                  <c:v>133.59200316632112</c:v>
                </c:pt>
                <c:pt idx="920">
                  <c:v>133.59217990913649</c:v>
                </c:pt>
                <c:pt idx="921">
                  <c:v>133.5923566487748</c:v>
                </c:pt>
                <c:pt idx="922">
                  <c:v>133.5925333852361</c:v>
                </c:pt>
                <c:pt idx="923">
                  <c:v>133.59271011852039</c:v>
                </c:pt>
                <c:pt idx="924">
                  <c:v>133.5928868486277</c:v>
                </c:pt>
                <c:pt idx="925">
                  <c:v>133.59306357555803</c:v>
                </c:pt>
                <c:pt idx="926">
                  <c:v>133.59324029931145</c:v>
                </c:pt>
                <c:pt idx="927">
                  <c:v>133.59341701988797</c:v>
                </c:pt>
                <c:pt idx="928">
                  <c:v>133.59359373728762</c:v>
                </c:pt>
                <c:pt idx="929">
                  <c:v>133.59377045151038</c:v>
                </c:pt>
                <c:pt idx="930">
                  <c:v>133.59394716255633</c:v>
                </c:pt>
                <c:pt idx="931">
                  <c:v>133.59412387042548</c:v>
                </c:pt>
                <c:pt idx="932">
                  <c:v>133.5943005751179</c:v>
                </c:pt>
                <c:pt idx="933">
                  <c:v>133.59447727663351</c:v>
                </c:pt>
                <c:pt idx="934">
                  <c:v>133.59465397497246</c:v>
                </c:pt>
                <c:pt idx="935">
                  <c:v>133.59483067013468</c:v>
                </c:pt>
                <c:pt idx="936">
                  <c:v>133.59500736212027</c:v>
                </c:pt>
                <c:pt idx="937">
                  <c:v>133.59518405092919</c:v>
                </c:pt>
                <c:pt idx="938">
                  <c:v>133.59536073656153</c:v>
                </c:pt>
                <c:pt idx="939">
                  <c:v>133.59553741901726</c:v>
                </c:pt>
                <c:pt idx="940">
                  <c:v>133.59571409829644</c:v>
                </c:pt>
                <c:pt idx="941">
                  <c:v>133.59589077439907</c:v>
                </c:pt>
                <c:pt idx="942">
                  <c:v>133.59606744732525</c:v>
                </c:pt>
                <c:pt idx="943">
                  <c:v>133.59624411707492</c:v>
                </c:pt>
                <c:pt idx="944">
                  <c:v>133.59642078364814</c:v>
                </c:pt>
                <c:pt idx="945">
                  <c:v>133.59659744704493</c:v>
                </c:pt>
                <c:pt idx="946">
                  <c:v>133.59677410726533</c:v>
                </c:pt>
                <c:pt idx="947">
                  <c:v>133.59695076430938</c:v>
                </c:pt>
                <c:pt idx="948">
                  <c:v>133.59712741817702</c:v>
                </c:pt>
                <c:pt idx="949">
                  <c:v>133.5973040688684</c:v>
                </c:pt>
                <c:pt idx="950">
                  <c:v>133.59748071638344</c:v>
                </c:pt>
                <c:pt idx="951">
                  <c:v>133.59765736072225</c:v>
                </c:pt>
                <c:pt idx="952">
                  <c:v>133.59783400188482</c:v>
                </c:pt>
                <c:pt idx="953">
                  <c:v>133.59801063987115</c:v>
                </c:pt>
                <c:pt idx="954">
                  <c:v>133.59818727468132</c:v>
                </c:pt>
                <c:pt idx="955">
                  <c:v>133.59836390631531</c:v>
                </c:pt>
                <c:pt idx="956">
                  <c:v>133.59854053477315</c:v>
                </c:pt>
                <c:pt idx="957">
                  <c:v>133.59871716005495</c:v>
                </c:pt>
                <c:pt idx="958">
                  <c:v>133.59889378216062</c:v>
                </c:pt>
                <c:pt idx="959">
                  <c:v>133.59907040109024</c:v>
                </c:pt>
                <c:pt idx="960">
                  <c:v>133.5992470168438</c:v>
                </c:pt>
                <c:pt idx="961">
                  <c:v>133.59942362942144</c:v>
                </c:pt>
                <c:pt idx="962">
                  <c:v>133.59960023882306</c:v>
                </c:pt>
                <c:pt idx="963">
                  <c:v>133.59977684504875</c:v>
                </c:pt>
                <c:pt idx="964">
                  <c:v>133.59995344809852</c:v>
                </c:pt>
                <c:pt idx="965">
                  <c:v>133.60013004797239</c:v>
                </c:pt>
                <c:pt idx="966">
                  <c:v>133.60030664467038</c:v>
                </c:pt>
                <c:pt idx="967">
                  <c:v>133.60048323819254</c:v>
                </c:pt>
                <c:pt idx="968">
                  <c:v>133.60065982853885</c:v>
                </c:pt>
                <c:pt idx="969">
                  <c:v>133.60083641570941</c:v>
                </c:pt>
                <c:pt idx="970">
                  <c:v>133.60101299970421</c:v>
                </c:pt>
                <c:pt idx="971">
                  <c:v>133.60118958052325</c:v>
                </c:pt>
                <c:pt idx="972">
                  <c:v>133.6013661581666</c:v>
                </c:pt>
                <c:pt idx="973">
                  <c:v>133.60154273263424</c:v>
                </c:pt>
                <c:pt idx="974">
                  <c:v>133.60171930392625</c:v>
                </c:pt>
                <c:pt idx="975">
                  <c:v>133.60189587204263</c:v>
                </c:pt>
                <c:pt idx="976">
                  <c:v>133.60207243698341</c:v>
                </c:pt>
                <c:pt idx="977">
                  <c:v>133.60224899874862</c:v>
                </c:pt>
                <c:pt idx="978">
                  <c:v>133.60242555733825</c:v>
                </c:pt>
                <c:pt idx="979">
                  <c:v>133.60260211275235</c:v>
                </c:pt>
                <c:pt idx="980">
                  <c:v>133.60277866499101</c:v>
                </c:pt>
                <c:pt idx="981">
                  <c:v>133.60295521405416</c:v>
                </c:pt>
                <c:pt idx="982">
                  <c:v>133.60313175994187</c:v>
                </c:pt>
                <c:pt idx="983">
                  <c:v>133.6033083026542</c:v>
                </c:pt>
                <c:pt idx="984">
                  <c:v>133.60348484219111</c:v>
                </c:pt>
                <c:pt idx="985">
                  <c:v>133.60366137855266</c:v>
                </c:pt>
                <c:pt idx="986">
                  <c:v>133.60383791173885</c:v>
                </c:pt>
                <c:pt idx="987">
                  <c:v>133.60401444174974</c:v>
                </c:pt>
                <c:pt idx="988">
                  <c:v>133.60419096858536</c:v>
                </c:pt>
                <c:pt idx="989">
                  <c:v>133.6043674922457</c:v>
                </c:pt>
                <c:pt idx="990">
                  <c:v>133.60454401273083</c:v>
                </c:pt>
                <c:pt idx="991">
                  <c:v>133.60472053004077</c:v>
                </c:pt>
                <c:pt idx="992">
                  <c:v>133.60489704417549</c:v>
                </c:pt>
                <c:pt idx="993">
                  <c:v>133.60507355513508</c:v>
                </c:pt>
                <c:pt idx="994">
                  <c:v>133.60525006291954</c:v>
                </c:pt>
                <c:pt idx="995">
                  <c:v>133.60542656752892</c:v>
                </c:pt>
                <c:pt idx="996">
                  <c:v>133.60560306896321</c:v>
                </c:pt>
                <c:pt idx="997">
                  <c:v>133.60577956722244</c:v>
                </c:pt>
                <c:pt idx="998">
                  <c:v>133.60595606230672</c:v>
                </c:pt>
                <c:pt idx="999">
                  <c:v>133.60613255421595</c:v>
                </c:pt>
                <c:pt idx="1000">
                  <c:v>133.60630904295022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D-4013-AEEF-2FD179FAB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25760"/>
        <c:axId val="149132032"/>
      </c:scatterChart>
      <c:valAx>
        <c:axId val="1491257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132032"/>
        <c:crosses val="autoZero"/>
        <c:crossBetween val="midCat"/>
      </c:valAx>
      <c:valAx>
        <c:axId val="14913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Courbes!$B$141</c:f>
              <c:strCache>
                <c:ptCount val="1"/>
                <c:pt idx="0">
                  <c:v>Vitesse [m/s]</c:v>
                </c:pt>
              </c:strCache>
            </c:strRef>
          </c:tx>
          <c:layout>
            <c:manualLayout>
              <c:xMode val="edge"/>
              <c:yMode val="edge"/>
              <c:x val="2.5943396226415099E-2"/>
              <c:y val="0.2287587051618547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1257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839684544148961"/>
          <c:y val="0.46444479440069991"/>
          <c:w val="0.13207559550339221"/>
          <c:h val="7.77777777777777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Accélérations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9.4339622641509524E-2"/>
          <c:y val="9.4771241830065356E-2"/>
          <c:w val="0.88679245283019104"/>
          <c:h val="0.81699346405228768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Courbes!$B$137</c:f>
              <c:strCache>
                <c:ptCount val="1"/>
                <c:pt idx="0">
                  <c:v>Accélération longitudinale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Calculs!$AG$4:$AG$1004</c:f>
              <c:numCache>
                <c:formatCode>0.00</c:formatCode>
                <c:ptCount val="1001"/>
                <c:pt idx="0">
                  <c:v>0</c:v>
                </c:pt>
                <c:pt idx="1">
                  <c:v>1.5532749425900505</c:v>
                </c:pt>
                <c:pt idx="2">
                  <c:v>24.21095956197933</c:v>
                </c:pt>
                <c:pt idx="3">
                  <c:v>46.882790949931533</c:v>
                </c:pt>
                <c:pt idx="4">
                  <c:v>69.576390993932463</c:v>
                </c:pt>
                <c:pt idx="5">
                  <c:v>92.299286007341607</c:v>
                </c:pt>
                <c:pt idx="6">
                  <c:v>103.56971828709294</c:v>
                </c:pt>
                <c:pt idx="7">
                  <c:v>103.36332863991301</c:v>
                </c:pt>
                <c:pt idx="8">
                  <c:v>103.15571900683491</c:v>
                </c:pt>
                <c:pt idx="9">
                  <c:v>102.94689324091388</c:v>
                </c:pt>
                <c:pt idx="10">
                  <c:v>102.73685524797048</c:v>
                </c:pt>
                <c:pt idx="11">
                  <c:v>102.52560898625889</c:v>
                </c:pt>
                <c:pt idx="12">
                  <c:v>102.31315846612962</c:v>
                </c:pt>
                <c:pt idx="13">
                  <c:v>102.09950774968713</c:v>
                </c:pt>
                <c:pt idx="14">
                  <c:v>101.8846609504421</c:v>
                </c:pt>
                <c:pt idx="15">
                  <c:v>101.66862223295853</c:v>
                </c:pt>
                <c:pt idx="16">
                  <c:v>101.45139581249585</c:v>
                </c:pt>
                <c:pt idx="17">
                  <c:v>101.23298595464581</c:v>
                </c:pt>
                <c:pt idx="18">
                  <c:v>101.01339697496451</c:v>
                </c:pt>
                <c:pt idx="19">
                  <c:v>100.79263323859935</c:v>
                </c:pt>
                <c:pt idx="20">
                  <c:v>100.57069915991126</c:v>
                </c:pt>
                <c:pt idx="21">
                  <c:v>100.34759920209194</c:v>
                </c:pt>
                <c:pt idx="22">
                  <c:v>100.12333787677642</c:v>
                </c:pt>
                <c:pt idx="23">
                  <c:v>99.897919743650988</c:v>
                </c:pt>
                <c:pt idx="24">
                  <c:v>99.671349410056266</c:v>
                </c:pt>
                <c:pt idx="25">
                  <c:v>99.443631530585932</c:v>
                </c:pt>
                <c:pt idx="26">
                  <c:v>99.214770806680818</c:v>
                </c:pt>
                <c:pt idx="27">
                  <c:v>98.984771986218533</c:v>
                </c:pt>
                <c:pt idx="28">
                  <c:v>98.753639863098826</c:v>
                </c:pt>
                <c:pt idx="29">
                  <c:v>98.521379276824433</c:v>
                </c:pt>
                <c:pt idx="30">
                  <c:v>98.287995112077823</c:v>
                </c:pt>
                <c:pt idx="31">
                  <c:v>98.053492298293818</c:v>
                </c:pt>
                <c:pt idx="32">
                  <c:v>97.817875809227786</c:v>
                </c:pt>
                <c:pt idx="33">
                  <c:v>97.581394490916779</c:v>
                </c:pt>
                <c:pt idx="34">
                  <c:v>97.343807084249931</c:v>
                </c:pt>
                <c:pt idx="35">
                  <c:v>97.105115147103191</c:v>
                </c:pt>
                <c:pt idx="36">
                  <c:v>96.865324161449408</c:v>
                </c:pt>
                <c:pt idx="37">
                  <c:v>96.624439622711108</c:v>
                </c:pt>
                <c:pt idx="38">
                  <c:v>96.382467042506931</c:v>
                </c:pt>
                <c:pt idx="39">
                  <c:v>96.139411950956458</c:v>
                </c:pt>
                <c:pt idx="40">
                  <c:v>95.895279898613936</c:v>
                </c:pt>
                <c:pt idx="41">
                  <c:v>95.650076458088307</c:v>
                </c:pt>
                <c:pt idx="42">
                  <c:v>95.403807225397003</c:v>
                </c:pt>
                <c:pt idx="43">
                  <c:v>95.156477821092409</c:v>
                </c:pt>
                <c:pt idx="44">
                  <c:v>94.908093891193403</c:v>
                </c:pt>
                <c:pt idx="45">
                  <c:v>94.658661107949399</c:v>
                </c:pt>
                <c:pt idx="46">
                  <c:v>94.408185170459291</c:v>
                </c:pt>
                <c:pt idx="47">
                  <c:v>94.156671805164564</c:v>
                </c:pt>
                <c:pt idx="48">
                  <c:v>93.904126766233063</c:v>
                </c:pt>
                <c:pt idx="49">
                  <c:v>93.650555835846603</c:v>
                </c:pt>
                <c:pt idx="50">
                  <c:v>93.395964824405041</c:v>
                </c:pt>
                <c:pt idx="51">
                  <c:v>93.20101916095912</c:v>
                </c:pt>
                <c:pt idx="52">
                  <c:v>93.065827294787013</c:v>
                </c:pt>
                <c:pt idx="53">
                  <c:v>92.929772890043083</c:v>
                </c:pt>
                <c:pt idx="54">
                  <c:v>92.792858572388184</c:v>
                </c:pt>
                <c:pt idx="55">
                  <c:v>92.655086994788505</c:v>
                </c:pt>
                <c:pt idx="56">
                  <c:v>92.516460837672355</c:v>
                </c:pt>
                <c:pt idx="57">
                  <c:v>92.376982809053786</c:v>
                </c:pt>
                <c:pt idx="58">
                  <c:v>92.236655644626921</c:v>
                </c:pt>
                <c:pt idx="59">
                  <c:v>92.095482107832794</c:v>
                </c:pt>
                <c:pt idx="60">
                  <c:v>91.953464989902244</c:v>
                </c:pt>
                <c:pt idx="61">
                  <c:v>91.810607109876273</c:v>
                </c:pt>
                <c:pt idx="62">
                  <c:v>91.666911314606182</c:v>
                </c:pt>
                <c:pt idx="63">
                  <c:v>91.522380478735158</c:v>
                </c:pt>
                <c:pt idx="64">
                  <c:v>91.377017504662746</c:v>
                </c:pt>
                <c:pt idx="65">
                  <c:v>91.230825322493843</c:v>
                </c:pt>
                <c:pt idx="66">
                  <c:v>91.083806889972934</c:v>
                </c:pt>
                <c:pt idx="67">
                  <c:v>90.935965192405476</c:v>
                </c:pt>
                <c:pt idx="68">
                  <c:v>90.787303242566452</c:v>
                </c:pt>
                <c:pt idx="69">
                  <c:v>90.637824080598051</c:v>
                </c:pt>
                <c:pt idx="70">
                  <c:v>90.487530773896154</c:v>
                </c:pt>
                <c:pt idx="71">
                  <c:v>90.336426416987393</c:v>
                </c:pt>
                <c:pt idx="72">
                  <c:v>90.184514131396838</c:v>
                </c:pt>
                <c:pt idx="73">
                  <c:v>90.031797065506908</c:v>
                </c:pt>
                <c:pt idx="74">
                  <c:v>89.878278394408568</c:v>
                </c:pt>
                <c:pt idx="75">
                  <c:v>89.723961319744575</c:v>
                </c:pt>
                <c:pt idx="76">
                  <c:v>89.568849069545934</c:v>
                </c:pt>
                <c:pt idx="77">
                  <c:v>89.412944898061383</c:v>
                </c:pt>
                <c:pt idx="78">
                  <c:v>89.256252085580883</c:v>
                </c:pt>
                <c:pt idx="79">
                  <c:v>89.098773938252833</c:v>
                </c:pt>
                <c:pt idx="80">
                  <c:v>88.940513787895895</c:v>
                </c:pt>
                <c:pt idx="81">
                  <c:v>88.781474991805382</c:v>
                </c:pt>
                <c:pt idx="82">
                  <c:v>88.621660932554619</c:v>
                </c:pt>
                <c:pt idx="83">
                  <c:v>88.461075017791501</c:v>
                </c:pt>
                <c:pt idx="84">
                  <c:v>88.299720680030561</c:v>
                </c:pt>
                <c:pt idx="85">
                  <c:v>88.137601376440557</c:v>
                </c:pt>
                <c:pt idx="86">
                  <c:v>87.974720588628088</c:v>
                </c:pt>
                <c:pt idx="87">
                  <c:v>87.811081822417137</c:v>
                </c:pt>
                <c:pt idx="88">
                  <c:v>87.646688607624995</c:v>
                </c:pt>
                <c:pt idx="89">
                  <c:v>87.481544497834548</c:v>
                </c:pt>
                <c:pt idx="90">
                  <c:v>87.31565307016298</c:v>
                </c:pt>
                <c:pt idx="91">
                  <c:v>87.149017925027607</c:v>
                </c:pt>
                <c:pt idx="92">
                  <c:v>86.981642685907957</c:v>
                </c:pt>
                <c:pt idx="93">
                  <c:v>86.813530999105495</c:v>
                </c:pt>
                <c:pt idx="94">
                  <c:v>86.644686533500021</c:v>
                </c:pt>
                <c:pt idx="95">
                  <c:v>86.475112980303479</c:v>
                </c:pt>
                <c:pt idx="96">
                  <c:v>86.304814052811167</c:v>
                </c:pt>
                <c:pt idx="97">
                  <c:v>86.133793486150168</c:v>
                </c:pt>
                <c:pt idx="98">
                  <c:v>85.962055037025763</c:v>
                </c:pt>
                <c:pt idx="99">
                  <c:v>85.789602483465032</c:v>
                </c:pt>
                <c:pt idx="100">
                  <c:v>85.616439624558566</c:v>
                </c:pt>
                <c:pt idx="101">
                  <c:v>85.414505680816674</c:v>
                </c:pt>
                <c:pt idx="102">
                  <c:v>85.183770826068283</c:v>
                </c:pt>
                <c:pt idx="103">
                  <c:v>84.952298532676821</c:v>
                </c:pt>
                <c:pt idx="104">
                  <c:v>84.720094144238558</c:v>
                </c:pt>
                <c:pt idx="105">
                  <c:v>84.487163021821956</c:v>
                </c:pt>
                <c:pt idx="106">
                  <c:v>84.253510543569803</c:v>
                </c:pt>
                <c:pt idx="107">
                  <c:v>84.019142104300215</c:v>
                </c:pt>
                <c:pt idx="108">
                  <c:v>83.784063115106804</c:v>
                </c:pt>
                <c:pt idx="109">
                  <c:v>83.548279002957685</c:v>
                </c:pt>
                <c:pt idx="110">
                  <c:v>83.311795210293837</c:v>
                </c:pt>
                <c:pt idx="111">
                  <c:v>83.074617194626583</c:v>
                </c:pt>
                <c:pt idx="112">
                  <c:v>82.836750428134678</c:v>
                </c:pt>
                <c:pt idx="113">
                  <c:v>82.598200397260328</c:v>
                </c:pt>
                <c:pt idx="114">
                  <c:v>82.358972602305343</c:v>
                </c:pt>
                <c:pt idx="115">
                  <c:v>82.119072557026271</c:v>
                </c:pt>
                <c:pt idx="116">
                  <c:v>81.878505788229674</c:v>
                </c:pt>
                <c:pt idx="117">
                  <c:v>81.637277835366703</c:v>
                </c:pt>
                <c:pt idx="118">
                  <c:v>81.395394250127907</c:v>
                </c:pt>
                <c:pt idx="119">
                  <c:v>81.152860596037499</c:v>
                </c:pt>
                <c:pt idx="120">
                  <c:v>80.909682448047974</c:v>
                </c:pt>
                <c:pt idx="121">
                  <c:v>80.665865392134322</c:v>
                </c:pt>
                <c:pt idx="122">
                  <c:v>80.421415024888674</c:v>
                </c:pt>
                <c:pt idx="123">
                  <c:v>80.176336953114941</c:v>
                </c:pt>
                <c:pt idx="124">
                  <c:v>79.930636793423503</c:v>
                </c:pt>
                <c:pt idx="125">
                  <c:v>79.684320171826641</c:v>
                </c:pt>
                <c:pt idx="126">
                  <c:v>79.43739272333373</c:v>
                </c:pt>
                <c:pt idx="127">
                  <c:v>79.189860091547217</c:v>
                </c:pt>
                <c:pt idx="128">
                  <c:v>78.941727928259013</c:v>
                </c:pt>
                <c:pt idx="129">
                  <c:v>78.693001893047125</c:v>
                </c:pt>
                <c:pt idx="130">
                  <c:v>78.443687652873336</c:v>
                </c:pt>
                <c:pt idx="131">
                  <c:v>78.193790881681053</c:v>
                </c:pt>
                <c:pt idx="132">
                  <c:v>77.943317259994174</c:v>
                </c:pt>
                <c:pt idx="133">
                  <c:v>77.692272474516543</c:v>
                </c:pt>
                <c:pt idx="134">
                  <c:v>77.440662217732225</c:v>
                </c:pt>
                <c:pt idx="135">
                  <c:v>77.188492187506625</c:v>
                </c:pt>
                <c:pt idx="136">
                  <c:v>76.935768086688668</c:v>
                </c:pt>
                <c:pt idx="137">
                  <c:v>76.682495622713731</c:v>
                </c:pt>
                <c:pt idx="138">
                  <c:v>76.428680507207716</c:v>
                </c:pt>
                <c:pt idx="139">
                  <c:v>76.174328455592203</c:v>
                </c:pt>
                <c:pt idx="140">
                  <c:v>75.919445186690496</c:v>
                </c:pt>
                <c:pt idx="141">
                  <c:v>75.664036422335272</c:v>
                </c:pt>
                <c:pt idx="142">
                  <c:v>75.408107886977021</c:v>
                </c:pt>
                <c:pt idx="143">
                  <c:v>75.151665307293982</c:v>
                </c:pt>
                <c:pt idx="144">
                  <c:v>74.894714411803307</c:v>
                </c:pt>
                <c:pt idx="145">
                  <c:v>74.637260930473573</c:v>
                </c:pt>
                <c:pt idx="146">
                  <c:v>74.37931059433879</c:v>
                </c:pt>
                <c:pt idx="147">
                  <c:v>74.12086913511385</c:v>
                </c:pt>
                <c:pt idx="148">
                  <c:v>73.861942284811235</c:v>
                </c:pt>
                <c:pt idx="149">
                  <c:v>73.602535775359641</c:v>
                </c:pt>
                <c:pt idx="150">
                  <c:v>73.342655338223949</c:v>
                </c:pt>
                <c:pt idx="151">
                  <c:v>73.091884885512656</c:v>
                </c:pt>
                <c:pt idx="152">
                  <c:v>72.850236493352497</c:v>
                </c:pt>
                <c:pt idx="153">
                  <c:v>72.608135115033548</c:v>
                </c:pt>
                <c:pt idx="154">
                  <c:v>72.365586006008613</c:v>
                </c:pt>
                <c:pt idx="155">
                  <c:v>72.122594421471064</c:v>
                </c:pt>
                <c:pt idx="156">
                  <c:v>71.879165616019932</c:v>
                </c:pt>
                <c:pt idx="157">
                  <c:v>71.635304843326338</c:v>
                </c:pt>
                <c:pt idx="158">
                  <c:v>71.391017355801424</c:v>
                </c:pt>
                <c:pt idx="159">
                  <c:v>71.146308404265795</c:v>
                </c:pt>
                <c:pt idx="160">
                  <c:v>70.9011832376207</c:v>
                </c:pt>
                <c:pt idx="161">
                  <c:v>70.655647102520533</c:v>
                </c:pt>
                <c:pt idx="162">
                  <c:v>70.409705243047014</c:v>
                </c:pt>
                <c:pt idx="163">
                  <c:v>70.16336290038528</c:v>
                </c:pt>
                <c:pt idx="164">
                  <c:v>69.916625312501267</c:v>
                </c:pt>
                <c:pt idx="165">
                  <c:v>69.669497713821059</c:v>
                </c:pt>
                <c:pt idx="166">
                  <c:v>69.421985334912037</c:v>
                </c:pt>
                <c:pt idx="167">
                  <c:v>69.174093402165525</c:v>
                </c:pt>
                <c:pt idx="168">
                  <c:v>68.925827137481519</c:v>
                </c:pt>
                <c:pt idx="169">
                  <c:v>68.677191757955129</c:v>
                </c:pt>
                <c:pt idx="170">
                  <c:v>68.428192475564899</c:v>
                </c:pt>
                <c:pt idx="171">
                  <c:v>68.178834496863075</c:v>
                </c:pt>
                <c:pt idx="172">
                  <c:v>67.929123022667653</c:v>
                </c:pt>
                <c:pt idx="173">
                  <c:v>67.679063247756574</c:v>
                </c:pt>
                <c:pt idx="174">
                  <c:v>67.428660360563711</c:v>
                </c:pt>
                <c:pt idx="175">
                  <c:v>67.177919542877049</c:v>
                </c:pt>
                <c:pt idx="176">
                  <c:v>66.926845969538618</c:v>
                </c:pt>
                <c:pt idx="177">
                  <c:v>66.675444808146892</c:v>
                </c:pt>
                <c:pt idx="178">
                  <c:v>66.423721218760761</c:v>
                </c:pt>
                <c:pt idx="179">
                  <c:v>66.171680353606035</c:v>
                </c:pt>
                <c:pt idx="180">
                  <c:v>65.919327356783867</c:v>
                </c:pt>
                <c:pt idx="181">
                  <c:v>65.666667363981304</c:v>
                </c:pt>
                <c:pt idx="182">
                  <c:v>65.413705502184229</c:v>
                </c:pt>
                <c:pt idx="183">
                  <c:v>65.160446889392119</c:v>
                </c:pt>
                <c:pt idx="184">
                  <c:v>64.906896634335467</c:v>
                </c:pt>
                <c:pt idx="185">
                  <c:v>64.653059836195013</c:v>
                </c:pt>
                <c:pt idx="186">
                  <c:v>64.398941584323552</c:v>
                </c:pt>
                <c:pt idx="187">
                  <c:v>64.144546957969908</c:v>
                </c:pt>
                <c:pt idx="188">
                  <c:v>63.889881026005085</c:v>
                </c:pt>
                <c:pt idx="189">
                  <c:v>63.634948846651014</c:v>
                </c:pt>
                <c:pt idx="190">
                  <c:v>63.379755467211346</c:v>
                </c:pt>
                <c:pt idx="191">
                  <c:v>63.124305923804727</c:v>
                </c:pt>
                <c:pt idx="192">
                  <c:v>62.868605241100532</c:v>
                </c:pt>
                <c:pt idx="193">
                  <c:v>62.61265843205684</c:v>
                </c:pt>
                <c:pt idx="194">
                  <c:v>62.356470497660752</c:v>
                </c:pt>
                <c:pt idx="195">
                  <c:v>62.10004642667149</c:v>
                </c:pt>
                <c:pt idx="196">
                  <c:v>61.84339119536547</c:v>
                </c:pt>
                <c:pt idx="197">
                  <c:v>61.586509767284213</c:v>
                </c:pt>
                <c:pt idx="198">
                  <c:v>61.329407092984361</c:v>
                </c:pt>
                <c:pt idx="199">
                  <c:v>61.072088109790542</c:v>
                </c:pt>
                <c:pt idx="200">
                  <c:v>60.814557741550502</c:v>
                </c:pt>
                <c:pt idx="201">
                  <c:v>60.556820898392736</c:v>
                </c:pt>
                <c:pt idx="202">
                  <c:v>60.298882476486739</c:v>
                </c:pt>
                <c:pt idx="203">
                  <c:v>60.040747357805785</c:v>
                </c:pt>
                <c:pt idx="204">
                  <c:v>59.782420409892119</c:v>
                </c:pt>
                <c:pt idx="205">
                  <c:v>59.523906485624927</c:v>
                </c:pt>
                <c:pt idx="206">
                  <c:v>59.265210422990592</c:v>
                </c:pt>
                <c:pt idx="207">
                  <c:v>59.006337044855748</c:v>
                </c:pt>
                <c:pt idx="208">
                  <c:v>58.747291158742932</c:v>
                </c:pt>
                <c:pt idx="209">
                  <c:v>58.488077556608509</c:v>
                </c:pt>
                <c:pt idx="210">
                  <c:v>58.228701014623709</c:v>
                </c:pt>
                <c:pt idx="211">
                  <c:v>57.969166292957794</c:v>
                </c:pt>
                <c:pt idx="212">
                  <c:v>57.70947813556414</c:v>
                </c:pt>
                <c:pt idx="213">
                  <c:v>57.4496412699689</c:v>
                </c:pt>
                <c:pt idx="214">
                  <c:v>57.189660407062107</c:v>
                </c:pt>
                <c:pt idx="215">
                  <c:v>56.929540240891754</c:v>
                </c:pt>
                <c:pt idx="216">
                  <c:v>56.669285448460244</c:v>
                </c:pt>
                <c:pt idx="217">
                  <c:v>56.408900689523534</c:v>
                </c:pt>
                <c:pt idx="218">
                  <c:v>56.148390606393093</c:v>
                </c:pt>
                <c:pt idx="219">
                  <c:v>55.887759823740311</c:v>
                </c:pt>
                <c:pt idx="220">
                  <c:v>55.627012948403802</c:v>
                </c:pt>
                <c:pt idx="221">
                  <c:v>55.366154569199161</c:v>
                </c:pt>
                <c:pt idx="222">
                  <c:v>55.105189256731492</c:v>
                </c:pt>
                <c:pt idx="223">
                  <c:v>54.844121563210599</c:v>
                </c:pt>
                <c:pt idx="224">
                  <c:v>54.582956022268966</c:v>
                </c:pt>
                <c:pt idx="225">
                  <c:v>54.321697148782192</c:v>
                </c:pt>
                <c:pt idx="226">
                  <c:v>54.060349438692285</c:v>
                </c:pt>
                <c:pt idx="227">
                  <c:v>53.798917368833628</c:v>
                </c:pt>
                <c:pt idx="228">
                  <c:v>53.537405396761493</c:v>
                </c:pt>
                <c:pt idx="229">
                  <c:v>53.275817960583382</c:v>
                </c:pt>
                <c:pt idx="230">
                  <c:v>53.014159478793147</c:v>
                </c:pt>
                <c:pt idx="231">
                  <c:v>52.752434350107364</c:v>
                </c:pt>
                <c:pt idx="232">
                  <c:v>52.490646953304996</c:v>
                </c:pt>
                <c:pt idx="233">
                  <c:v>52.228801647069204</c:v>
                </c:pt>
                <c:pt idx="234">
                  <c:v>51.966902769832117</c:v>
                </c:pt>
                <c:pt idx="235">
                  <c:v>51.7049546396224</c:v>
                </c:pt>
                <c:pt idx="236">
                  <c:v>51.442961553914998</c:v>
                </c:pt>
                <c:pt idx="237">
                  <c:v>51.18092778948423</c:v>
                </c:pt>
                <c:pt idx="238">
                  <c:v>50.918857602258925</c:v>
                </c:pt>
                <c:pt idx="239">
                  <c:v>50.656755227180689</c:v>
                </c:pt>
                <c:pt idx="240">
                  <c:v>50.394624878064633</c:v>
                </c:pt>
                <c:pt idx="241">
                  <c:v>50.132470747462662</c:v>
                </c:pt>
                <c:pt idx="242">
                  <c:v>49.870297006529761</c:v>
                </c:pt>
                <c:pt idx="243">
                  <c:v>49.608107804892484</c:v>
                </c:pt>
                <c:pt idx="244">
                  <c:v>49.345907270520449</c:v>
                </c:pt>
                <c:pt idx="245">
                  <c:v>49.083699509600351</c:v>
                </c:pt>
                <c:pt idx="246">
                  <c:v>48.821488606412551</c:v>
                </c:pt>
                <c:pt idx="247">
                  <c:v>48.559278623210361</c:v>
                </c:pt>
                <c:pt idx="248">
                  <c:v>48.297073600101875</c:v>
                </c:pt>
                <c:pt idx="249">
                  <c:v>48.034877554934653</c:v>
                </c:pt>
                <c:pt idx="250">
                  <c:v>47.77269448318259</c:v>
                </c:pt>
                <c:pt idx="251">
                  <c:v>47.469011994922688</c:v>
                </c:pt>
                <c:pt idx="252">
                  <c:v>47.123845152207501</c:v>
                </c:pt>
                <c:pt idx="253">
                  <c:v>46.778756679298716</c:v>
                </c:pt>
                <c:pt idx="254">
                  <c:v>46.433752045918176</c:v>
                </c:pt>
                <c:pt idx="255">
                  <c:v>46.088836682922263</c:v>
                </c:pt>
                <c:pt idx="256">
                  <c:v>45.744015982170623</c:v>
                </c:pt>
                <c:pt idx="257">
                  <c:v>45.399295296399664</c:v>
                </c:pt>
                <c:pt idx="258">
                  <c:v>45.054679939100666</c:v>
                </c:pt>
                <c:pt idx="259">
                  <c:v>44.710175184402502</c:v>
                </c:pt>
                <c:pt idx="260">
                  <c:v>44.365786266959091</c:v>
                </c:pt>
                <c:pt idx="261">
                  <c:v>44.021518381841375</c:v>
                </c:pt>
                <c:pt idx="262">
                  <c:v>43.677376684433781</c:v>
                </c:pt>
                <c:pt idx="263">
                  <c:v>43.333366290335405</c:v>
                </c:pt>
                <c:pt idx="264">
                  <c:v>42.989492275265476</c:v>
                </c:pt>
                <c:pt idx="265">
                  <c:v>42.645759674973583</c:v>
                </c:pt>
                <c:pt idx="266">
                  <c:v>42.302173485154022</c:v>
                </c:pt>
                <c:pt idx="267">
                  <c:v>41.958738661364826</c:v>
                </c:pt>
                <c:pt idx="268">
                  <c:v>41.615460118951113</c:v>
                </c:pt>
                <c:pt idx="269">
                  <c:v>41.27234273297266</c:v>
                </c:pt>
                <c:pt idx="270">
                  <c:v>40.929391338136071</c:v>
                </c:pt>
                <c:pt idx="271">
                  <c:v>40.586610728730946</c:v>
                </c:pt>
                <c:pt idx="272">
                  <c:v>40.244005658570536</c:v>
                </c:pt>
                <c:pt idx="273">
                  <c:v>39.901580840936575</c:v>
                </c:pt>
                <c:pt idx="274">
                  <c:v>39.559340948528188</c:v>
                </c:pt>
                <c:pt idx="275">
                  <c:v>39.217290613415223</c:v>
                </c:pt>
                <c:pt idx="276">
                  <c:v>38.875434426995461</c:v>
                </c:pt>
                <c:pt idx="277">
                  <c:v>38.533776939956056</c:v>
                </c:pt>
                <c:pt idx="278">
                  <c:v>38.192322662238986</c:v>
                </c:pt>
                <c:pt idx="279">
                  <c:v>37.851076063010694</c:v>
                </c:pt>
                <c:pt idx="280">
                  <c:v>37.51004157063548</c:v>
                </c:pt>
                <c:pt idx="281">
                  <c:v>37.169223572653038</c:v>
                </c:pt>
                <c:pt idx="282">
                  <c:v>36.828626415759857</c:v>
                </c:pt>
                <c:pt idx="283">
                  <c:v>36.488254405794535</c:v>
                </c:pt>
                <c:pt idx="284">
                  <c:v>36.14811180772692</c:v>
                </c:pt>
                <c:pt idx="285">
                  <c:v>35.808202845651138</c:v>
                </c:pt>
                <c:pt idx="286">
                  <c:v>35.468531702782307</c:v>
                </c:pt>
                <c:pt idx="287">
                  <c:v>35.129102521457114</c:v>
                </c:pt>
                <c:pt idx="288">
                  <c:v>34.789919403137986</c:v>
                </c:pt>
                <c:pt idx="289">
                  <c:v>34.450986408421052</c:v>
                </c:pt>
                <c:pt idx="290">
                  <c:v>34.112307557047686</c:v>
                </c:pt>
                <c:pt idx="291">
                  <c:v>33.773886827919583</c:v>
                </c:pt>
                <c:pt idx="292">
                  <c:v>33.435728159117616</c:v>
                </c:pt>
                <c:pt idx="293">
                  <c:v>33.097835447923892</c:v>
                </c:pt>
                <c:pt idx="294">
                  <c:v>32.760212550847641</c:v>
                </c:pt>
                <c:pt idx="295">
                  <c:v>32.422863283654308</c:v>
                </c:pt>
                <c:pt idx="296">
                  <c:v>32.085791421398127</c:v>
                </c:pt>
                <c:pt idx="297">
                  <c:v>31.749000698458218</c:v>
                </c:pt>
                <c:pt idx="298">
                  <c:v>30.956077405933932</c:v>
                </c:pt>
                <c:pt idx="299">
                  <c:v>29.70735899056772</c:v>
                </c:pt>
                <c:pt idx="300">
                  <c:v>28.45988777184067</c:v>
                </c:pt>
                <c:pt idx="301">
                  <c:v>27.213693275458667</c:v>
                </c:pt>
                <c:pt idx="302">
                  <c:v>25.968804534825281</c:v>
                </c:pt>
                <c:pt idx="303">
                  <c:v>24.725250091254182</c:v>
                </c:pt>
                <c:pt idx="304">
                  <c:v>23.483057994278738</c:v>
                </c:pt>
                <c:pt idx="305">
                  <c:v>22.242255802057251</c:v>
                </c:pt>
                <c:pt idx="306">
                  <c:v>21.002870581872116</c:v>
                </c:pt>
                <c:pt idx="307">
                  <c:v>19.764928910721736</c:v>
                </c:pt>
                <c:pt idx="308">
                  <c:v>18.528456876002956</c:v>
                </c:pt>
                <c:pt idx="309">
                  <c:v>17.293480076283029</c:v>
                </c:pt>
                <c:pt idx="310">
                  <c:v>16.060023622159079</c:v>
                </c:pt>
                <c:pt idx="311">
                  <c:v>14.828112137203671</c:v>
                </c:pt>
                <c:pt idx="312">
                  <c:v>13.597769758994728</c:v>
                </c:pt>
                <c:pt idx="313">
                  <c:v>12.369020140228219</c:v>
                </c:pt>
                <c:pt idx="314">
                  <c:v>11.141886449911906</c:v>
                </c:pt>
                <c:pt idx="315">
                  <c:v>9.9163913746386534</c:v>
                </c:pt>
                <c:pt idx="316">
                  <c:v>8.6925571199374936</c:v>
                </c:pt>
                <c:pt idx="317">
                  <c:v>7.4704054117008809</c:v>
                </c:pt>
                <c:pt idx="318">
                  <c:v>6.2499574976864309</c:v>
                </c:pt>
                <c:pt idx="319">
                  <c:v>5.0312341490914907</c:v>
                </c:pt>
                <c:pt idx="320">
                  <c:v>3.8142556621989865</c:v>
                </c:pt>
                <c:pt idx="321">
                  <c:v>2.7806396282001433</c:v>
                </c:pt>
                <c:pt idx="322">
                  <c:v>1.9301631899369589</c:v>
                </c:pt>
                <c:pt idx="323">
                  <c:v>1.0809423270028145</c:v>
                </c:pt>
                <c:pt idx="324">
                  <c:v>0.23298544840568169</c:v>
                </c:pt>
                <c:pt idx="325">
                  <c:v>-0.6136992642273178</c:v>
                </c:pt>
                <c:pt idx="326">
                  <c:v>-1.4591038554824571</c:v>
                </c:pt>
                <c:pt idx="327">
                  <c:v>-2.3032205949737552</c:v>
                </c:pt>
                <c:pt idx="328">
                  <c:v>-3.1460419761395055</c:v>
                </c:pt>
                <c:pt idx="329">
                  <c:v>-3.9875607150215906</c:v>
                </c:pt>
                <c:pt idx="330">
                  <c:v>-4.8277697490282083</c:v>
                </c:pt>
                <c:pt idx="331">
                  <c:v>-5.6666622356805894</c:v>
                </c:pt>
                <c:pt idx="332">
                  <c:v>-6.5042315513440165</c:v>
                </c:pt>
                <c:pt idx="333">
                  <c:v>-7.3404712899440252</c:v>
                </c:pt>
                <c:pt idx="334">
                  <c:v>-8.1753752616680622</c:v>
                </c:pt>
                <c:pt idx="335">
                  <c:v>-9.0089374916533167</c:v>
                </c:pt>
                <c:pt idx="336">
                  <c:v>-9.8411522186611311</c:v>
                </c:pt>
                <c:pt idx="337">
                  <c:v>-10.6720138937385</c:v>
                </c:pt>
                <c:pt idx="338">
                  <c:v>-11.501517178867424</c:v>
                </c:pt>
                <c:pt idx="339">
                  <c:v>-12.329656945602276</c:v>
                </c:pt>
                <c:pt idx="340">
                  <c:v>-13.156428273695994</c:v>
                </c:pt>
                <c:pt idx="341">
                  <c:v>-13.981826449715435</c:v>
                </c:pt>
                <c:pt idx="342">
                  <c:v>-14.805846965646467</c:v>
                </c:pt>
                <c:pt idx="343">
                  <c:v>-15.628485517489271</c:v>
                </c:pt>
                <c:pt idx="344">
                  <c:v>-16.449738003844356</c:v>
                </c:pt>
                <c:pt idx="345">
                  <c:v>-17.269600524489782</c:v>
                </c:pt>
                <c:pt idx="346">
                  <c:v>-18.08806937895006</c:v>
                </c:pt>
                <c:pt idx="347">
                  <c:v>-18.90514106505718</c:v>
                </c:pt>
                <c:pt idx="348">
                  <c:v>-19.701223933716413</c:v>
                </c:pt>
                <c:pt idx="349">
                  <c:v>-20.476349277959336</c:v>
                </c:pt>
                <c:pt idx="350">
                  <c:v>-21.250138941156646</c:v>
                </c:pt>
                <c:pt idx="351">
                  <c:v>-22.022590765785878</c:v>
                </c:pt>
                <c:pt idx="352">
                  <c:v>-22.793702766066303</c:v>
                </c:pt>
                <c:pt idx="353">
                  <c:v>-23.563473126614156</c:v>
                </c:pt>
                <c:pt idx="354">
                  <c:v>-24.331900201094886</c:v>
                </c:pt>
                <c:pt idx="355">
                  <c:v>-25.098982510872226</c:v>
                </c:pt>
                <c:pt idx="356">
                  <c:v>-25.86471874365493</c:v>
                </c:pt>
                <c:pt idx="357">
                  <c:v>-26.62910775214127</c:v>
                </c:pt>
                <c:pt idx="358">
                  <c:v>-27.392148552661666</c:v>
                </c:pt>
                <c:pt idx="359">
                  <c:v>-28.153840323819949</c:v>
                </c:pt>
                <c:pt idx="360">
                  <c:v>-28.506797976583485</c:v>
                </c:pt>
                <c:pt idx="361">
                  <c:v>-28.451795275770429</c:v>
                </c:pt>
                <c:pt idx="362">
                  <c:v>-28.396987538268636</c:v>
                </c:pt>
                <c:pt idx="363">
                  <c:v>-28.342373846438282</c:v>
                </c:pt>
                <c:pt idx="364">
                  <c:v>-28.287953288086648</c:v>
                </c:pt>
                <c:pt idx="365">
                  <c:v>-28.23372495642921</c:v>
                </c:pt>
                <c:pt idx="366">
                  <c:v>-28.179687950050933</c:v>
                </c:pt>
                <c:pt idx="367">
                  <c:v>-28.125841372868063</c:v>
                </c:pt>
                <c:pt idx="368">
                  <c:v>-28.072184334090082</c:v>
                </c:pt>
                <c:pt idx="369">
                  <c:v>-28.018715948182113</c:v>
                </c:pt>
                <c:pt idx="370">
                  <c:v>-27.965435334827504</c:v>
                </c:pt>
                <c:pt idx="371">
                  <c:v>-27.912341618890803</c:v>
                </c:pt>
                <c:pt idx="372">
                  <c:v>-27.859433930381087</c:v>
                </c:pt>
                <c:pt idx="373">
                  <c:v>-27.806711404415449</c:v>
                </c:pt>
                <c:pt idx="374">
                  <c:v>-27.754173181182949</c:v>
                </c:pt>
                <c:pt idx="375">
                  <c:v>-27.701818405908732</c:v>
                </c:pt>
                <c:pt idx="376">
                  <c:v>-27.649646228818497</c:v>
                </c:pt>
                <c:pt idx="377">
                  <c:v>-27.597655805103322</c:v>
                </c:pt>
                <c:pt idx="378">
                  <c:v>-27.545846294884647</c:v>
                </c:pt>
                <c:pt idx="379">
                  <c:v>-27.494216863179638</c:v>
                </c:pt>
                <c:pt idx="380">
                  <c:v>-27.442766679866814</c:v>
                </c:pt>
                <c:pt idx="381">
                  <c:v>-27.391494919651961</c:v>
                </c:pt>
                <c:pt idx="382">
                  <c:v>-27.340400762034314</c:v>
                </c:pt>
                <c:pt idx="383">
                  <c:v>-27.289483391272995</c:v>
                </c:pt>
                <c:pt idx="384">
                  <c:v>-27.238741996353777</c:v>
                </c:pt>
                <c:pt idx="385">
                  <c:v>-27.1881757709561</c:v>
                </c:pt>
                <c:pt idx="386">
                  <c:v>-27.137783913420314</c:v>
                </c:pt>
                <c:pt idx="387">
                  <c:v>-27.087565626715246</c:v>
                </c:pt>
                <c:pt idx="388">
                  <c:v>-27.037520118406043</c:v>
                </c:pt>
                <c:pt idx="389">
                  <c:v>-26.987646600622149</c:v>
                </c:pt>
                <c:pt idx="390">
                  <c:v>-26.93794429002574</c:v>
                </c:pt>
                <c:pt idx="391">
                  <c:v>-26.888412407780237</c:v>
                </c:pt>
                <c:pt idx="392">
                  <c:v>-26.839050179519152</c:v>
                </c:pt>
                <c:pt idx="393">
                  <c:v>-26.789856835315252</c:v>
                </c:pt>
                <c:pt idx="394">
                  <c:v>-26.740831609649796</c:v>
                </c:pt>
                <c:pt idx="395">
                  <c:v>-26.691973741382231</c:v>
                </c:pt>
                <c:pt idx="396">
                  <c:v>-26.643282473719928</c:v>
                </c:pt>
                <c:pt idx="397">
                  <c:v>-26.594757054188328</c:v>
                </c:pt>
                <c:pt idx="398">
                  <c:v>-26.546396734601252</c:v>
                </c:pt>
                <c:pt idx="399">
                  <c:v>-26.498200771031403</c:v>
                </c:pt>
                <c:pt idx="400">
                  <c:v>-26.45016842378126</c:v>
                </c:pt>
                <c:pt idx="401">
                  <c:v>-26.402298957354013</c:v>
                </c:pt>
                <c:pt idx="402">
                  <c:v>-25.928883794678011</c:v>
                </c:pt>
                <c:pt idx="403">
                  <c:v>-25.471259518987019</c:v>
                </c:pt>
                <c:pt idx="404">
                  <c:v>-25.02873475685179</c:v>
                </c:pt>
                <c:pt idx="405">
                  <c:v>-24.600656012086809</c:v>
                </c:pt>
                <c:pt idx="406">
                  <c:v>-24.186405186945699</c:v>
                </c:pt>
                <c:pt idx="407">
                  <c:v>-23.785397291188797</c:v>
                </c:pt>
                <c:pt idx="408">
                  <c:v>-23.397078322860096</c:v>
                </c:pt>
                <c:pt idx="409">
                  <c:v>-23.020923306161592</c:v>
                </c:pt>
                <c:pt idx="410">
                  <c:v>-22.656434473200207</c:v>
                </c:pt>
                <c:pt idx="411">
                  <c:v>-22.303139577624336</c:v>
                </c:pt>
                <c:pt idx="412">
                  <c:v>-21.96059032928008</c:v>
                </c:pt>
                <c:pt idx="413">
                  <c:v>-21.628360940016726</c:v>
                </c:pt>
                <c:pt idx="414">
                  <c:v>-21.306046771668733</c:v>
                </c:pt>
                <c:pt idx="415">
                  <c:v>-20.993263078049466</c:v>
                </c:pt>
                <c:pt idx="416">
                  <c:v>-20.689643833519238</c:v>
                </c:pt>
                <c:pt idx="417">
                  <c:v>-20.394840641346452</c:v>
                </c:pt>
                <c:pt idx="418">
                  <c:v>-20.108521715672438</c:v>
                </c:pt>
                <c:pt idx="419">
                  <c:v>-19.830370931425946</c:v>
                </c:pt>
                <c:pt idx="420">
                  <c:v>-19.560086937016685</c:v>
                </c:pt>
                <c:pt idx="421">
                  <c:v>-19.297382325075883</c:v>
                </c:pt>
                <c:pt idx="422">
                  <c:v>-19.041982856908497</c:v>
                </c:pt>
                <c:pt idx="423">
                  <c:v>-18.793626736682107</c:v>
                </c:pt>
                <c:pt idx="424">
                  <c:v>-18.552063931704527</c:v>
                </c:pt>
                <c:pt idx="425">
                  <c:v>-18.317055535439209</c:v>
                </c:pt>
                <c:pt idx="426">
                  <c:v>-18.088373170178137</c:v>
                </c:pt>
                <c:pt idx="427">
                  <c:v>-17.865798426537705</c:v>
                </c:pt>
                <c:pt idx="428">
                  <c:v>-17.649122337167572</c:v>
                </c:pt>
                <c:pt idx="429">
                  <c:v>-17.438144882266776</c:v>
                </c:pt>
                <c:pt idx="430">
                  <c:v>-17.232674524688111</c:v>
                </c:pt>
                <c:pt idx="431">
                  <c:v>-17.032527772582032</c:v>
                </c:pt>
                <c:pt idx="432">
                  <c:v>-16.837528767687232</c:v>
                </c:pt>
                <c:pt idx="433">
                  <c:v>-16.64750889751738</c:v>
                </c:pt>
                <c:pt idx="434">
                  <c:v>-16.462306429823709</c:v>
                </c:pt>
                <c:pt idx="435">
                  <c:v>-16.281766167832735</c:v>
                </c:pt>
                <c:pt idx="436">
                  <c:v>-16.105739124867338</c:v>
                </c:pt>
                <c:pt idx="437">
                  <c:v>-15.934082217059924</c:v>
                </c:pt>
                <c:pt idx="438">
                  <c:v>-15.766657972958075</c:v>
                </c:pt>
                <c:pt idx="439">
                  <c:v>-15.603334258907312</c:v>
                </c:pt>
                <c:pt idx="440">
                  <c:v>-15.443984019172976</c:v>
                </c:pt>
                <c:pt idx="441">
                  <c:v>-15.288485029834089</c:v>
                </c:pt>
                <c:pt idx="442">
                  <c:v>-15.13671966554714</c:v>
                </c:pt>
                <c:pt idx="443">
                  <c:v>-14.98857467833739</c:v>
                </c:pt>
                <c:pt idx="444">
                  <c:v>-14.843940987630033</c:v>
                </c:pt>
                <c:pt idx="445">
                  <c:v>-14.702713480783817</c:v>
                </c:pt>
                <c:pt idx="446">
                  <c:v>-14.564790823435546</c:v>
                </c:pt>
                <c:pt idx="447">
                  <c:v>-14.430075279006024</c:v>
                </c:pt>
                <c:pt idx="448">
                  <c:v>-14.298472536756417</c:v>
                </c:pt>
                <c:pt idx="449">
                  <c:v>-14.169891547818953</c:v>
                </c:pt>
                <c:pt idx="450">
                  <c:v>-14.044244368657825</c:v>
                </c:pt>
                <c:pt idx="451">
                  <c:v>-13.921446011445031</c:v>
                </c:pt>
                <c:pt idx="452">
                  <c:v>-13.801414300861797</c:v>
                </c:pt>
                <c:pt idx="453">
                  <c:v>-13.684069736859879</c:v>
                </c:pt>
                <c:pt idx="454">
                  <c:v>-13.569335362937634</c:v>
                </c:pt>
                <c:pt idx="455">
                  <c:v>-13.457136639504322</c:v>
                </c:pt>
                <c:pt idx="456">
                  <c:v>-13.347401321921978</c:v>
                </c:pt>
                <c:pt idx="457">
                  <c:v>-13.240059342828086</c:v>
                </c:pt>
                <c:pt idx="458">
                  <c:v>-13.135042698353521</c:v>
                </c:pt>
                <c:pt idx="459">
                  <c:v>-13.032285337859591</c:v>
                </c:pt>
                <c:pt idx="460">
                  <c:v>-12.931723056824781</c:v>
                </c:pt>
                <c:pt idx="461">
                  <c:v>-12.833293392516527</c:v>
                </c:pt>
                <c:pt idx="462">
                  <c:v>-12.73693552208552</c:v>
                </c:pt>
                <c:pt idx="463">
                  <c:v>-12.642590162720001</c:v>
                </c:pt>
                <c:pt idx="464">
                  <c:v>-12.550199473494715</c:v>
                </c:pt>
                <c:pt idx="465">
                  <c:v>-12.459706958543864</c:v>
                </c:pt>
                <c:pt idx="466">
                  <c:v>-12.37105737117931</c:v>
                </c:pt>
                <c:pt idx="467">
                  <c:v>-12.284196618563803</c:v>
                </c:pt>
                <c:pt idx="468">
                  <c:v>-12.199071666534682</c:v>
                </c:pt>
                <c:pt idx="469">
                  <c:v>-12.115630444155281</c:v>
                </c:pt>
                <c:pt idx="470">
                  <c:v>-12.033821747549123</c:v>
                </c:pt>
                <c:pt idx="471">
                  <c:v>-11.953595142545607</c:v>
                </c:pt>
                <c:pt idx="472">
                  <c:v>-11.87490086563462</c:v>
                </c:pt>
                <c:pt idx="473">
                  <c:v>-11.797689722690759</c:v>
                </c:pt>
                <c:pt idx="474">
                  <c:v>-11.721912984885197</c:v>
                </c:pt>
                <c:pt idx="475">
                  <c:v>-11.647522281153613</c:v>
                </c:pt>
                <c:pt idx="476">
                  <c:v>-11.574469486531493</c:v>
                </c:pt>
                <c:pt idx="477">
                  <c:v>-11.502706605602089</c:v>
                </c:pt>
                <c:pt idx="478">
                  <c:v>-11.432185650226575</c:v>
                </c:pt>
                <c:pt idx="479">
                  <c:v>-11.362858510638969</c:v>
                </c:pt>
                <c:pt idx="480">
                  <c:v>-11.29467681888832</c:v>
                </c:pt>
                <c:pt idx="481">
                  <c:v>-11.227591803496294</c:v>
                </c:pt>
                <c:pt idx="482">
                  <c:v>-11.161554134066725</c:v>
                </c:pt>
                <c:pt idx="483">
                  <c:v>-11.096513754433067</c:v>
                </c:pt>
                <c:pt idx="484">
                  <c:v>-11.032419702756634</c:v>
                </c:pt>
                <c:pt idx="485">
                  <c:v>-10.969219916790019</c:v>
                </c:pt>
                <c:pt idx="486">
                  <c:v>-10.906861022291936</c:v>
                </c:pt>
                <c:pt idx="487">
                  <c:v>-10.845288102317443</c:v>
                </c:pt>
                <c:pt idx="488">
                  <c:v>-10.784444444805931</c:v>
                </c:pt>
                <c:pt idx="489">
                  <c:v>-10.724271265541628</c:v>
                </c:pt>
                <c:pt idx="490">
                  <c:v>-10.66470740316116</c:v>
                </c:pt>
                <c:pt idx="491">
                  <c:v>-10.605688982420652</c:v>
                </c:pt>
                <c:pt idx="492">
                  <c:v>-10.547149041401628</c:v>
                </c:pt>
                <c:pt idx="493">
                  <c:v>-10.489017117718609</c:v>
                </c:pt>
                <c:pt idx="494">
                  <c:v>-10.431218788078667</c:v>
                </c:pt>
                <c:pt idx="495">
                  <c:v>-10.37367515471821</c:v>
                </c:pt>
                <c:pt idx="496">
                  <c:v>-10.316302271286984</c:v>
                </c:pt>
                <c:pt idx="497">
                  <c:v>-10.259010499642375</c:v>
                </c:pt>
                <c:pt idx="498">
                  <c:v>-10.201703787733988</c:v>
                </c:pt>
                <c:pt idx="499">
                  <c:v>-10.144278857271134</c:v>
                </c:pt>
                <c:pt idx="500">
                  <c:v>-10.086624288141701</c:v>
                </c:pt>
                <c:pt idx="501">
                  <c:v>-10.028619484553154</c:v>
                </c:pt>
                <c:pt idx="502">
                  <c:v>-9.9701335055536475</c:v>
                </c:pt>
                <c:pt idx="503">
                  <c:v>-9.9110237399170469</c:v>
                </c:pt>
                <c:pt idx="504">
                  <c:v>-9.8511344022897394</c:v>
                </c:pt>
                <c:pt idx="505">
                  <c:v>-9.7902948239451355</c:v>
                </c:pt>
                <c:pt idx="506">
                  <c:v>-9.7283175074191846</c:v>
                </c:pt>
                <c:pt idx="507">
                  <c:v>-9.6649959096531433</c:v>
                </c:pt>
                <c:pt idx="508">
                  <c:v>-9.6001019130031811</c:v>
                </c:pt>
                <c:pt idx="509">
                  <c:v>-9.5333829375617078</c:v>
                </c:pt>
                <c:pt idx="510">
                  <c:v>-9.4645586416742464</c:v>
                </c:pt>
                <c:pt idx="511">
                  <c:v>-9.3933171503824866</c:v>
                </c:pt>
                <c:pt idx="512">
                  <c:v>-9.3193107439165424</c:v>
                </c:pt>
                <c:pt idx="513">
                  <c:v>-9.2421509305644474</c:v>
                </c:pt>
                <c:pt idx="514">
                  <c:v>-9.1614028207305314</c:v>
                </c:pt>
                <c:pt idx="515">
                  <c:v>-9.07657871251741</c:v>
                </c:pt>
                <c:pt idx="516">
                  <c:v>-8.9871307949250419</c:v>
                </c:pt>
                <c:pt idx="517">
                  <c:v>-8.8924428745820077</c:v>
                </c:pt>
                <c:pt idx="518">
                  <c:v>-8.791821038538826</c:v>
                </c:pt>
                <c:pt idx="519">
                  <c:v>-8.6844831830637972</c:v>
                </c:pt>
                <c:pt idx="520">
                  <c:v>-8.5695473723566984</c:v>
                </c:pt>
                <c:pt idx="521">
                  <c:v>-8.4460190497994194</c:v>
                </c:pt>
                <c:pt idx="522">
                  <c:v>-8.3127772191315312</c:v>
                </c:pt>
                <c:pt idx="523">
                  <c:v>-8.1685598591533086</c:v>
                </c:pt>
                <c:pt idx="524">
                  <c:v>-8.011949053488328</c:v>
                </c:pt>
                <c:pt idx="525">
                  <c:v>-7.8413566322632056</c:v>
                </c:pt>
                <c:pt idx="526">
                  <c:v>-7.6550115659965829</c:v>
                </c:pt>
                <c:pt idx="527">
                  <c:v>-7.4509509569616874</c:v>
                </c:pt>
                <c:pt idx="528">
                  <c:v>-7.2270172699693571</c:v>
                </c:pt>
                <c:pt idx="529">
                  <c:v>-6.9808654476139358</c:v>
                </c:pt>
                <c:pt idx="530">
                  <c:v>-6.7099847418666867</c:v>
                </c:pt>
                <c:pt idx="531">
                  <c:v>-6.4117413692189364</c:v>
                </c:pt>
                <c:pt idx="532">
                  <c:v>-6.0834492420796682</c:v>
                </c:pt>
                <c:pt idx="533">
                  <c:v>-5.7224766423655371</c:v>
                </c:pt>
                <c:pt idx="534">
                  <c:v>-5.32639614423704</c:v>
                </c:pt>
                <c:pt idx="535">
                  <c:v>-4.8931824817423264</c:v>
                </c:pt>
                <c:pt idx="536">
                  <c:v>-4.4214573963134587</c:v>
                </c:pt>
                <c:pt idx="537">
                  <c:v>-3.9107710161344227</c:v>
                </c:pt>
                <c:pt idx="538">
                  <c:v>-3.3618960901691781</c:v>
                </c:pt>
                <c:pt idx="539">
                  <c:v>-2.7770961669913574</c:v>
                </c:pt>
                <c:pt idx="540">
                  <c:v>-2.1603156226165567</c:v>
                </c:pt>
                <c:pt idx="541">
                  <c:v>-1.5172344248979366</c:v>
                </c:pt>
                <c:pt idx="542">
                  <c:v>-0.85514004114042175</c:v>
                </c:pt>
                <c:pt idx="543">
                  <c:v>-0.18259612710952905</c:v>
                </c:pt>
                <c:pt idx="544">
                  <c:v>0.4910710215722644</c:v>
                </c:pt>
                <c:pt idx="545">
                  <c:v>1.1564032361608545</c:v>
                </c:pt>
                <c:pt idx="546">
                  <c:v>1.8044623044110926</c:v>
                </c:pt>
                <c:pt idx="547">
                  <c:v>2.4274008744862234</c:v>
                </c:pt>
                <c:pt idx="548">
                  <c:v>3.0188723465574641</c:v>
                </c:pt>
                <c:pt idx="549">
                  <c:v>3.5742403720065621</c:v>
                </c:pt>
                <c:pt idx="550">
                  <c:v>4.0905928079688882</c:v>
                </c:pt>
                <c:pt idx="551">
                  <c:v>4.5665988742707571</c:v>
                </c:pt>
                <c:pt idx="552">
                  <c:v>5.0022649206509486</c:v>
                </c:pt>
                <c:pt idx="553">
                  <c:v>5.3986444070506918</c:v>
                </c:pt>
                <c:pt idx="554">
                  <c:v>5.7575469817704175</c:v>
                </c:pt>
                <c:pt idx="555">
                  <c:v>6.0812764727042889</c:v>
                </c:pt>
                <c:pt idx="556">
                  <c:v>6.3724131963218502</c:v>
                </c:pt>
                <c:pt idx="557">
                  <c:v>6.6336448779333494</c:v>
                </c:pt>
                <c:pt idx="558">
                  <c:v>6.8676433172318907</c:v>
                </c:pt>
                <c:pt idx="559">
                  <c:v>7.0769802031160296</c:v>
                </c:pt>
                <c:pt idx="560">
                  <c:v>7.2640742142014068</c:v>
                </c:pt>
                <c:pt idx="561">
                  <c:v>7.431161779784575</c:v>
                </c:pt>
                <c:pt idx="562">
                  <c:v>7.5802848756993182</c:v>
                </c:pt>
                <c:pt idx="563">
                  <c:v>7.7132904952071124</c:v>
                </c:pt>
                <c:pt idx="564">
                  <c:v>7.8318376808729457</c:v>
                </c:pt>
                <c:pt idx="565">
                  <c:v>7.9374090910547119</c:v>
                </c:pt>
                <c:pt idx="566">
                  <c:v>8.0313249574517407</c:v>
                </c:pt>
                <c:pt idx="567">
                  <c:v>8.114757971333761</c:v>
                </c:pt>
                <c:pt idx="568">
                  <c:v>8.1887481417708727</c:v>
                </c:pt>
                <c:pt idx="569">
                  <c:v>8.2542170327915354</c:v>
                </c:pt>
                <c:pt idx="570">
                  <c:v>8.3119810403654668</c:v>
                </c:pt>
                <c:pt idx="571">
                  <c:v>8.3627635424315301</c:v>
                </c:pt>
                <c:pt idx="572">
                  <c:v>8.4072058683963178</c:v>
                </c:pt>
                <c:pt idx="573">
                  <c:v>8.4458771059472006</c:v>
                </c:pt>
                <c:pt idx="574">
                  <c:v>8.4792828055565064</c:v>
                </c:pt>
                <c:pt idx="575">
                  <c:v>8.5078726660697654</c:v>
                </c:pt>
                <c:pt idx="576">
                  <c:v>8.5320472949339283</c:v>
                </c:pt>
                <c:pt idx="577">
                  <c:v>8.5521641385843647</c:v>
                </c:pt>
                <c:pt idx="578">
                  <c:v>8.5685426754657712</c:v>
                </c:pt>
                <c:pt idx="579">
                  <c:v>8.5814689582636774</c:v>
                </c:pt>
                <c:pt idx="580">
                  <c:v>8.5911995845905356</c:v>
                </c:pt>
                <c:pt idx="581">
                  <c:v>8.5979651675167581</c:v>
                </c:pt>
                <c:pt idx="582">
                  <c:v>8.6019733695304854</c:v>
                </c:pt>
                <c:pt idx="583">
                  <c:v>8.6034115560844064</c:v>
                </c:pt>
                <c:pt idx="584">
                  <c:v>8.60244911802471</c:v>
                </c:pt>
                <c:pt idx="585">
                  <c:v>8.5992395059764366</c:v>
                </c:pt>
                <c:pt idx="586">
                  <c:v>8.5939220141997179</c:v>
                </c:pt>
                <c:pt idx="587">
                  <c:v>8.5866233465119794</c:v>
                </c:pt>
                <c:pt idx="588">
                  <c:v>8.5774589925513585</c:v>
                </c:pt>
                <c:pt idx="589">
                  <c:v>8.5665344388841334</c:v>
                </c:pt>
                <c:pt idx="590">
                  <c:v>8.5539462361778842</c:v>
                </c:pt>
                <c:pt idx="591">
                  <c:v>8.5397829408172203</c:v>
                </c:pt>
                <c:pt idx="592">
                  <c:v>8.5241259468772856</c:v>
                </c:pt>
                <c:pt idx="593">
                  <c:v>8.5070502222436488</c:v>
                </c:pt>
                <c:pt idx="594">
                  <c:v>8.4886249608314799</c:v>
                </c:pt>
                <c:pt idx="595">
                  <c:v>8.4689141612733927</c:v>
                </c:pt>
                <c:pt idx="596">
                  <c:v>8.4479771410793987</c:v>
                </c:pt>
                <c:pt idx="597">
                  <c:v>8.4258689940940172</c:v>
                </c:pt>
                <c:pt idx="598">
                  <c:v>8.4026409980589207</c:v>
                </c:pt>
                <c:pt idx="599">
                  <c:v>8.3783409782113889</c:v>
                </c:pt>
                <c:pt idx="600">
                  <c:v>8.3530136320904287</c:v>
                </c:pt>
                <c:pt idx="601">
                  <c:v>8.3267008200664545</c:v>
                </c:pt>
                <c:pt idx="602">
                  <c:v>8.2994418255427416</c:v>
                </c:pt>
                <c:pt idx="603">
                  <c:v>8.2712735882850374</c:v>
                </c:pt>
                <c:pt idx="604">
                  <c:v>8.242230913909145</c:v>
                </c:pt>
                <c:pt idx="605">
                  <c:v>8.2123466621859187</c:v>
                </c:pt>
                <c:pt idx="606">
                  <c:v>8.181651916501167</c:v>
                </c:pt>
                <c:pt idx="607">
                  <c:v>8.1501761365276817</c:v>
                </c:pt>
                <c:pt idx="608">
                  <c:v>8.1179472959225087</c:v>
                </c:pt>
                <c:pt idx="609">
                  <c:v>8.0849920066493972</c:v>
                </c:pt>
                <c:pt idx="610">
                  <c:v>8.0513356313403683</c:v>
                </c:pt>
                <c:pt idx="611">
                  <c:v>8.0170023849473733</c:v>
                </c:pt>
                <c:pt idx="612">
                  <c:v>7.9820154267925663</c:v>
                </c:pt>
                <c:pt idx="613">
                  <c:v>7.946396944000476</c:v>
                </c:pt>
                <c:pt idx="614">
                  <c:v>7.9101682271856939</c:v>
                </c:pt>
                <c:pt idx="615">
                  <c:v>7.8733497391730367</c:v>
                </c:pt>
                <c:pt idx="616">
                  <c:v>7.8359611774421447</c:v>
                </c:pt>
                <c:pt idx="617">
                  <c:v>7.7980215309135579</c:v>
                </c:pt>
                <c:pt idx="618">
                  <c:v>7.7595491316272023</c:v>
                </c:pt>
                <c:pt idx="619">
                  <c:v>7.7205617018056412</c:v>
                </c:pt>
                <c:pt idx="620">
                  <c:v>7.6810763967429327</c:v>
                </c:pt>
                <c:pt idx="621">
                  <c:v>7.64110984391389</c:v>
                </c:pt>
                <c:pt idx="622">
                  <c:v>7.6006781786580966</c:v>
                </c:pt>
                <c:pt idx="623">
                  <c:v>7.5597970767568228</c:v>
                </c:pt>
                <c:pt idx="624">
                  <c:v>7.5184817841889195</c:v>
                </c:pt>
                <c:pt idx="625">
                  <c:v>7.4767471443232747</c:v>
                </c:pt>
                <c:pt idx="626">
                  <c:v>7.4346076227798186</c:v>
                </c:pt>
                <c:pt idx="627">
                  <c:v>7.3920773301685383</c:v>
                </c:pt>
                <c:pt idx="628">
                  <c:v>7.3491700428954783</c:v>
                </c:pt>
                <c:pt idx="629">
                  <c:v>7.3058992222067065</c:v>
                </c:pt>
                <c:pt idx="630">
                  <c:v>7.2622780316249305</c:v>
                </c:pt>
                <c:pt idx="631">
                  <c:v>7.2183193529188667</c:v>
                </c:pt>
                <c:pt idx="632">
                  <c:v>7.1740358007324438</c:v>
                </c:pt>
                <c:pt idx="633">
                  <c:v>7.129439735989183</c:v>
                </c:pt>
                <c:pt idx="634">
                  <c:v>7.0845432781765272</c:v>
                </c:pt>
                <c:pt idx="635">
                  <c:v>7.039358316605405</c:v>
                </c:pt>
                <c:pt idx="636">
                  <c:v>6.9938965207318233</c:v>
                </c:pt>
                <c:pt idx="637">
                  <c:v>6.9481693496194303</c:v>
                </c:pt>
                <c:pt idx="638">
                  <c:v>6.9021880606151722</c:v>
                </c:pt>
                <c:pt idx="639">
                  <c:v>6.8559637173038137</c:v>
                </c:pt>
                <c:pt idx="640">
                  <c:v>6.8095071968013272</c:v>
                </c:pt>
                <c:pt idx="641">
                  <c:v>6.7628291964421194</c:v>
                </c:pt>
                <c:pt idx="642">
                  <c:v>6.7159402399103652</c:v>
                </c:pt>
                <c:pt idx="643">
                  <c:v>6.6688506828613523</c:v>
                </c:pt>
                <c:pt idx="644">
                  <c:v>6.6215707180750716</c:v>
                </c:pt>
                <c:pt idx="645">
                  <c:v>6.5741103801806888</c:v>
                </c:pt>
                <c:pt idx="646">
                  <c:v>6.5264795499873163</c:v>
                </c:pt>
                <c:pt idx="647">
                  <c:v>6.4786879584537038</c:v>
                </c:pt>
                <c:pt idx="648">
                  <c:v>6.4307451903267623</c:v>
                </c:pt>
                <c:pt idx="649">
                  <c:v>6.3826606874763971</c:v>
                </c:pt>
                <c:pt idx="650">
                  <c:v>6.3344437519520085</c:v>
                </c:pt>
                <c:pt idx="651">
                  <c:v>6.2861035487839096</c:v>
                </c:pt>
                <c:pt idx="652">
                  <c:v>6.2376491085511674</c:v>
                </c:pt>
                <c:pt idx="653">
                  <c:v>6.1890893297355998</c:v>
                </c:pt>
                <c:pt idx="654">
                  <c:v>6.1404329808801794</c:v>
                </c:pt>
                <c:pt idx="655">
                  <c:v>6.091688702568649</c:v>
                </c:pt>
                <c:pt idx="656">
                  <c:v>6.0428650092418703</c:v>
                </c:pt>
                <c:pt idx="657">
                  <c:v>5.9939702908652066</c:v>
                </c:pt>
                <c:pt idx="658">
                  <c:v>5.9450128144601857</c:v>
                </c:pt>
                <c:pt idx="659">
                  <c:v>5.8960007255126508</c:v>
                </c:pt>
                <c:pt idx="660">
                  <c:v>5.8469420492686819</c:v>
                </c:pt>
                <c:pt idx="661">
                  <c:v>5.7978446919286837</c:v>
                </c:pt>
                <c:pt idx="662">
                  <c:v>5.7487164417493632</c:v>
                </c:pt>
                <c:pt idx="663">
                  <c:v>5.6995649700624167</c:v>
                </c:pt>
                <c:pt idx="664">
                  <c:v>5.6503978322181903</c:v>
                </c:pt>
                <c:pt idx="665">
                  <c:v>5.6012224684619696</c:v>
                </c:pt>
                <c:pt idx="666">
                  <c:v>5.5520462047498755</c:v>
                </c:pt>
                <c:pt idx="667">
                  <c:v>5.5028762535109363</c:v>
                </c:pt>
                <c:pt idx="668">
                  <c:v>5.4537197143612719</c:v>
                </c:pt>
                <c:pt idx="669">
                  <c:v>5.4045835747760274</c:v>
                </c:pt>
                <c:pt idx="670">
                  <c:v>5.3554747107241374</c:v>
                </c:pt>
                <c:pt idx="671">
                  <c:v>5.3063998872706692</c:v>
                </c:pt>
                <c:pt idx="672">
                  <c:v>5.2573657591511509</c:v>
                </c:pt>
                <c:pt idx="673">
                  <c:v>5.2083788713218624</c:v>
                </c:pt>
                <c:pt idx="674">
                  <c:v>5.159445659489859</c:v>
                </c:pt>
                <c:pt idx="675">
                  <c:v>5.1105724506261412</c:v>
                </c:pt>
                <c:pt idx="676">
                  <c:v>5.0617654634650986</c:v>
                </c:pt>
                <c:pt idx="677">
                  <c:v>5.0130308089931788</c:v>
                </c:pt>
                <c:pt idx="678">
                  <c:v>4.964374490929373</c:v>
                </c:pt>
                <c:pt idx="679">
                  <c:v>4.9158024062000463</c:v>
                </c:pt>
                <c:pt idx="680">
                  <c:v>4.8673203454102616</c:v>
                </c:pt>
                <c:pt idx="681">
                  <c:v>4.8189339933137205</c:v>
                </c:pt>
                <c:pt idx="682">
                  <c:v>4.7706489292831211</c:v>
                </c:pt>
                <c:pt idx="683">
                  <c:v>4.7224706277826964</c:v>
                </c:pt>
                <c:pt idx="684">
                  <c:v>4.6744044588443954</c:v>
                </c:pt>
                <c:pt idx="685">
                  <c:v>4.6264556885492087</c:v>
                </c:pt>
                <c:pt idx="686">
                  <c:v>4.5786294795147908</c:v>
                </c:pt>
                <c:pt idx="687">
                  <c:v>4.5309308913906019</c:v>
                </c:pt>
                <c:pt idx="688">
                  <c:v>4.4833648813615481</c:v>
                </c:pt>
                <c:pt idx="689">
                  <c:v>4.4359363046610119</c:v>
                </c:pt>
                <c:pt idx="690">
                  <c:v>4.3886499150941036</c:v>
                </c:pt>
                <c:pt idx="691">
                  <c:v>4.3415103655718417</c:v>
                </c:pt>
                <c:pt idx="692">
                  <c:v>4.2945222086568409</c:v>
                </c:pt>
                <c:pt idx="693">
                  <c:v>4.2476898971210995</c:v>
                </c:pt>
                <c:pt idx="694">
                  <c:v>4.2010177845162504</c:v>
                </c:pt>
                <c:pt idx="695">
                  <c:v>4.1545101257567678</c:v>
                </c:pt>
                <c:pt idx="696">
                  <c:v>4.1081710777163538</c:v>
                </c:pt>
                <c:pt idx="697">
                  <c:v>4.0620046998377681</c:v>
                </c:pt>
                <c:pt idx="698">
                  <c:v>4.0160149547563178</c:v>
                </c:pt>
                <c:pt idx="699">
                  <c:v>3.9702057089371419</c:v>
                </c:pt>
                <c:pt idx="700">
                  <c:v>3.9245807333263025</c:v>
                </c:pt>
                <c:pt idx="701">
                  <c:v>3.8791437040157959</c:v>
                </c:pt>
                <c:pt idx="702">
                  <c:v>3.833898202922442</c:v>
                </c:pt>
                <c:pt idx="703">
                  <c:v>3.7888477184805911</c:v>
                </c:pt>
                <c:pt idx="704">
                  <c:v>3.7439956463485453</c:v>
                </c:pt>
                <c:pt idx="705">
                  <c:v>3.6993452901286137</c:v>
                </c:pt>
                <c:pt idx="706">
                  <c:v>3.6548998621005788</c:v>
                </c:pt>
                <c:pt idx="707">
                  <c:v>3.6106624839684214</c:v>
                </c:pt>
                <c:pt idx="708">
                  <c:v>3.5666361876201176</c:v>
                </c:pt>
                <c:pt idx="709">
                  <c:v>3.5228239159001493</c:v>
                </c:pt>
                <c:pt idx="710">
                  <c:v>3.4792285233945801</c:v>
                </c:pt>
                <c:pt idx="711">
                  <c:v>3.4358527772283853</c:v>
                </c:pt>
                <c:pt idx="712">
                  <c:v>3.3926993578746236</c:v>
                </c:pt>
                <c:pt idx="713">
                  <c:v>3.3497708599752709</c:v>
                </c:pt>
                <c:pt idx="714">
                  <c:v>3.3070697931732669</c:v>
                </c:pt>
                <c:pt idx="715">
                  <c:v>3.2645985829554531</c:v>
                </c:pt>
                <c:pt idx="716">
                  <c:v>3.2223595715060336</c:v>
                </c:pt>
                <c:pt idx="717">
                  <c:v>3.180355018570153</c:v>
                </c:pt>
                <c:pt idx="718">
                  <c:v>3.1385871023272403</c:v>
                </c:pt>
                <c:pt idx="719">
                  <c:v>3.0970579202736683</c:v>
                </c:pt>
                <c:pt idx="720">
                  <c:v>3.0557694901143186</c:v>
                </c:pt>
                <c:pt idx="721">
                  <c:v>3.0147237506626992</c:v>
                </c:pt>
                <c:pt idx="722">
                  <c:v>2.9739225627491122</c:v>
                </c:pt>
                <c:pt idx="723">
                  <c:v>2.9333677101364657</c:v>
                </c:pt>
                <c:pt idx="724">
                  <c:v>2.8930609004433645</c:v>
                </c:pt>
                <c:pt idx="725">
                  <c:v>2.8530037660739191</c:v>
                </c:pt>
                <c:pt idx="726">
                  <c:v>2.81319786515395</c:v>
                </c:pt>
                <c:pt idx="727">
                  <c:v>2.7736446824731118</c:v>
                </c:pt>
                <c:pt idx="728">
                  <c:v>2.7343456304324469</c:v>
                </c:pt>
                <c:pt idx="729">
                  <c:v>2.6953020499970508</c:v>
                </c:pt>
                <c:pt idx="730">
                  <c:v>2.6565152116532644</c:v>
                </c:pt>
                <c:pt idx="731">
                  <c:v>2.6179863163701178</c:v>
                </c:pt>
                <c:pt idx="732">
                  <c:v>2.579716496564405</c:v>
                </c:pt>
                <c:pt idx="733">
                  <c:v>2.5417068170691746</c:v>
                </c:pt>
                <c:pt idx="734">
                  <c:v>2.5039582761050188</c:v>
                </c:pt>
                <c:pt idx="735">
                  <c:v>2.4664718062538826</c:v>
                </c:pt>
                <c:pt idx="736">
                  <c:v>2.4292482754348521</c:v>
                </c:pt>
                <c:pt idx="737">
                  <c:v>2.3922884878816078</c:v>
                </c:pt>
                <c:pt idx="738">
                  <c:v>2.3555931851210907</c:v>
                </c:pt>
                <c:pt idx="739">
                  <c:v>2.3191630469529647</c:v>
                </c:pt>
                <c:pt idx="740">
                  <c:v>2.2829986924295484</c:v>
                </c:pt>
                <c:pt idx="741">
                  <c:v>2.2471006808356844</c:v>
                </c:pt>
                <c:pt idx="742">
                  <c:v>2.2114695126683284</c:v>
                </c:pt>
                <c:pt idx="743">
                  <c:v>2.1761056306153952</c:v>
                </c:pt>
                <c:pt idx="744">
                  <c:v>2.1410094205334502</c:v>
                </c:pt>
                <c:pt idx="745">
                  <c:v>2.1061812124239712</c:v>
                </c:pt>
                <c:pt idx="746">
                  <c:v>2.0716212814077819</c:v>
                </c:pt>
                <c:pt idx="747">
                  <c:v>2.0373298486973006</c:v>
                </c:pt>
                <c:pt idx="748">
                  <c:v>2.0033070825662538</c:v>
                </c:pt>
                <c:pt idx="749">
                  <c:v>1.9695530993165988</c:v>
                </c:pt>
                <c:pt idx="750">
                  <c:v>1.9360679642421861</c:v>
                </c:pt>
                <c:pt idx="751">
                  <c:v>1.9028516925890271</c:v>
                </c:pt>
                <c:pt idx="752">
                  <c:v>1.8699042505116683</c:v>
                </c:pt>
                <c:pt idx="753">
                  <c:v>1.8372255560255306</c:v>
                </c:pt>
                <c:pt idx="754">
                  <c:v>1.8048154799548115</c:v>
                </c:pt>
                <c:pt idx="755">
                  <c:v>1.7726738468757386</c:v>
                </c:pt>
                <c:pt idx="756">
                  <c:v>1.7726420324574566</c:v>
                </c:pt>
                <c:pt idx="757">
                  <c:v>1.7726102183046262</c:v>
                </c:pt>
                <c:pt idx="758">
                  <c:v>1.7725784044172617</c:v>
                </c:pt>
                <c:pt idx="759">
                  <c:v>1.7725465907953506</c:v>
                </c:pt>
                <c:pt idx="760">
                  <c:v>1.7725147774389072</c:v>
                </c:pt>
                <c:pt idx="761">
                  <c:v>1.7724829643479119</c:v>
                </c:pt>
                <c:pt idx="762">
                  <c:v>1.7724511515223753</c:v>
                </c:pt>
                <c:pt idx="763">
                  <c:v>1.7724193389622975</c:v>
                </c:pt>
                <c:pt idx="764">
                  <c:v>1.7723875266676803</c:v>
                </c:pt>
                <c:pt idx="765">
                  <c:v>1.7723557146385218</c:v>
                </c:pt>
                <c:pt idx="766">
                  <c:v>1.7723239028748168</c:v>
                </c:pt>
                <c:pt idx="767">
                  <c:v>1.7722920913765705</c:v>
                </c:pt>
                <c:pt idx="768">
                  <c:v>1.7722602801437812</c:v>
                </c:pt>
                <c:pt idx="769">
                  <c:v>1.7722284691764454</c:v>
                </c:pt>
                <c:pt idx="770">
                  <c:v>1.7721966584745612</c:v>
                </c:pt>
                <c:pt idx="771">
                  <c:v>1.7721648480381464</c:v>
                </c:pt>
                <c:pt idx="772">
                  <c:v>1.7721330378671798</c:v>
                </c:pt>
                <c:pt idx="773">
                  <c:v>1.7721012279616648</c:v>
                </c:pt>
                <c:pt idx="774">
                  <c:v>1.7720694183216086</c:v>
                </c:pt>
                <c:pt idx="775">
                  <c:v>1.7720376089470076</c:v>
                </c:pt>
                <c:pt idx="776">
                  <c:v>1.7720057998378564</c:v>
                </c:pt>
                <c:pt idx="777">
                  <c:v>1.7719739909941641</c:v>
                </c:pt>
                <c:pt idx="778">
                  <c:v>1.7719421824159234</c:v>
                </c:pt>
                <c:pt idx="779">
                  <c:v>1.7719103741031397</c:v>
                </c:pt>
                <c:pt idx="780">
                  <c:v>1.7718785660558058</c:v>
                </c:pt>
                <c:pt idx="781">
                  <c:v>1.7718467582739272</c:v>
                </c:pt>
                <c:pt idx="782">
                  <c:v>1.771814950757495</c:v>
                </c:pt>
                <c:pt idx="783">
                  <c:v>1.7717831435065232</c:v>
                </c:pt>
                <c:pt idx="784">
                  <c:v>1.7717513365210031</c:v>
                </c:pt>
                <c:pt idx="785">
                  <c:v>1.7717195298009347</c:v>
                </c:pt>
                <c:pt idx="786">
                  <c:v>1.7716877233463144</c:v>
                </c:pt>
                <c:pt idx="787">
                  <c:v>1.7716559171571475</c:v>
                </c:pt>
                <c:pt idx="788">
                  <c:v>1.7716241112334306</c:v>
                </c:pt>
                <c:pt idx="789">
                  <c:v>1.771592305575167</c:v>
                </c:pt>
                <c:pt idx="790">
                  <c:v>1.7715605001823587</c:v>
                </c:pt>
                <c:pt idx="791">
                  <c:v>1.7715286950549984</c:v>
                </c:pt>
                <c:pt idx="792">
                  <c:v>1.7714968901930899</c:v>
                </c:pt>
                <c:pt idx="793">
                  <c:v>1.7714650855966276</c:v>
                </c:pt>
                <c:pt idx="794">
                  <c:v>1.7714332812656171</c:v>
                </c:pt>
                <c:pt idx="795">
                  <c:v>1.7714014772000546</c:v>
                </c:pt>
                <c:pt idx="796">
                  <c:v>1.7713696733999456</c:v>
                </c:pt>
                <c:pt idx="797">
                  <c:v>1.7713378698652846</c:v>
                </c:pt>
                <c:pt idx="798">
                  <c:v>1.7713060665960665</c:v>
                </c:pt>
                <c:pt idx="799">
                  <c:v>1.7712742635923018</c:v>
                </c:pt>
                <c:pt idx="800">
                  <c:v>1.771242460853987</c:v>
                </c:pt>
                <c:pt idx="801">
                  <c:v>1.7712106583811131</c:v>
                </c:pt>
                <c:pt idx="802">
                  <c:v>1.7711788561736928</c:v>
                </c:pt>
                <c:pt idx="803">
                  <c:v>1.7711470542317134</c:v>
                </c:pt>
                <c:pt idx="804">
                  <c:v>1.7711152525551928</c:v>
                </c:pt>
                <c:pt idx="805">
                  <c:v>1.7710834511441149</c:v>
                </c:pt>
                <c:pt idx="806">
                  <c:v>1.7710516499984816</c:v>
                </c:pt>
                <c:pt idx="807">
                  <c:v>1.7710198491182929</c:v>
                </c:pt>
                <c:pt idx="808">
                  <c:v>1.7709880485035576</c:v>
                </c:pt>
                <c:pt idx="809">
                  <c:v>1.7709562481542722</c:v>
                </c:pt>
                <c:pt idx="810">
                  <c:v>1.7709244480704154</c:v>
                </c:pt>
                <c:pt idx="811">
                  <c:v>1.7708926482520138</c:v>
                </c:pt>
                <c:pt idx="812">
                  <c:v>1.7708608486990531</c:v>
                </c:pt>
                <c:pt idx="813">
                  <c:v>1.7708290494115424</c:v>
                </c:pt>
                <c:pt idx="814">
                  <c:v>1.770797250389478</c:v>
                </c:pt>
                <c:pt idx="815">
                  <c:v>1.770765451632851</c:v>
                </c:pt>
                <c:pt idx="816">
                  <c:v>1.7707336531416793</c:v>
                </c:pt>
                <c:pt idx="817">
                  <c:v>1.7707018549159432</c:v>
                </c:pt>
                <c:pt idx="818">
                  <c:v>1.7706700569556535</c:v>
                </c:pt>
                <c:pt idx="819">
                  <c:v>1.7706382592608083</c:v>
                </c:pt>
                <c:pt idx="820">
                  <c:v>1.7706064618314041</c:v>
                </c:pt>
                <c:pt idx="821">
                  <c:v>1.7705746646674481</c:v>
                </c:pt>
                <c:pt idx="822">
                  <c:v>1.7705428677689294</c:v>
                </c:pt>
                <c:pt idx="823">
                  <c:v>1.7705110711358536</c:v>
                </c:pt>
                <c:pt idx="824">
                  <c:v>1.7704792747682223</c:v>
                </c:pt>
                <c:pt idx="825">
                  <c:v>1.770447478666032</c:v>
                </c:pt>
                <c:pt idx="826">
                  <c:v>1.7704156828292827</c:v>
                </c:pt>
                <c:pt idx="827">
                  <c:v>1.7703838872579762</c:v>
                </c:pt>
                <c:pt idx="828">
                  <c:v>1.7703520919521107</c:v>
                </c:pt>
                <c:pt idx="829">
                  <c:v>1.7703202969116862</c:v>
                </c:pt>
                <c:pt idx="830">
                  <c:v>1.7702885021366992</c:v>
                </c:pt>
                <c:pt idx="831">
                  <c:v>1.7702567076271514</c:v>
                </c:pt>
                <c:pt idx="832">
                  <c:v>1.7702249133830534</c:v>
                </c:pt>
                <c:pt idx="833">
                  <c:v>1.7701931194043876</c:v>
                </c:pt>
                <c:pt idx="834">
                  <c:v>1.7701613256911646</c:v>
                </c:pt>
                <c:pt idx="835">
                  <c:v>1.7701295322433825</c:v>
                </c:pt>
                <c:pt idx="836">
                  <c:v>1.7700977390610362</c:v>
                </c:pt>
                <c:pt idx="837">
                  <c:v>1.7700659461441255</c:v>
                </c:pt>
                <c:pt idx="838">
                  <c:v>1.7700341534926665</c:v>
                </c:pt>
                <c:pt idx="839">
                  <c:v>1.7700023611066396</c:v>
                </c:pt>
                <c:pt idx="840">
                  <c:v>1.7699705689860448</c:v>
                </c:pt>
                <c:pt idx="841">
                  <c:v>1.7699387771308963</c:v>
                </c:pt>
                <c:pt idx="842">
                  <c:v>1.76990698554118</c:v>
                </c:pt>
                <c:pt idx="843">
                  <c:v>1.7698751942169029</c:v>
                </c:pt>
                <c:pt idx="844">
                  <c:v>1.7698434031580614</c:v>
                </c:pt>
                <c:pt idx="845">
                  <c:v>1.7698116123646574</c:v>
                </c:pt>
                <c:pt idx="846">
                  <c:v>1.7697798218366927</c:v>
                </c:pt>
                <c:pt idx="847">
                  <c:v>1.7697480315741618</c:v>
                </c:pt>
                <c:pt idx="848">
                  <c:v>1.7697162415770666</c:v>
                </c:pt>
                <c:pt idx="849">
                  <c:v>1.7696844518454142</c:v>
                </c:pt>
                <c:pt idx="850">
                  <c:v>1.7696526623791886</c:v>
                </c:pt>
                <c:pt idx="851">
                  <c:v>1.7696208731784022</c:v>
                </c:pt>
                <c:pt idx="852">
                  <c:v>1.7695890842430533</c:v>
                </c:pt>
                <c:pt idx="853">
                  <c:v>1.7695572955731365</c:v>
                </c:pt>
                <c:pt idx="854">
                  <c:v>1.7695255071686553</c:v>
                </c:pt>
                <c:pt idx="855">
                  <c:v>1.7694937190296116</c:v>
                </c:pt>
                <c:pt idx="856">
                  <c:v>1.7694619311559947</c:v>
                </c:pt>
                <c:pt idx="857">
                  <c:v>1.7694301435478135</c:v>
                </c:pt>
                <c:pt idx="858">
                  <c:v>1.7693983562050697</c:v>
                </c:pt>
                <c:pt idx="859">
                  <c:v>1.7693665691277563</c:v>
                </c:pt>
                <c:pt idx="860">
                  <c:v>1.7693347823158749</c:v>
                </c:pt>
                <c:pt idx="861">
                  <c:v>1.7693029957694275</c:v>
                </c:pt>
                <c:pt idx="862">
                  <c:v>1.7692712094884193</c:v>
                </c:pt>
                <c:pt idx="863">
                  <c:v>1.7692394234728344</c:v>
                </c:pt>
                <c:pt idx="864">
                  <c:v>1.7692076377226851</c:v>
                </c:pt>
                <c:pt idx="865">
                  <c:v>1.7691758522379679</c:v>
                </c:pt>
                <c:pt idx="866">
                  <c:v>1.7691440670186829</c:v>
                </c:pt>
                <c:pt idx="867">
                  <c:v>1.76911228206483</c:v>
                </c:pt>
                <c:pt idx="868">
                  <c:v>1.7690804973764038</c:v>
                </c:pt>
                <c:pt idx="869">
                  <c:v>1.769048712953408</c:v>
                </c:pt>
                <c:pt idx="870">
                  <c:v>1.7690169287958515</c:v>
                </c:pt>
                <c:pt idx="871">
                  <c:v>1.7689851449037128</c:v>
                </c:pt>
                <c:pt idx="872">
                  <c:v>1.7689533612770134</c:v>
                </c:pt>
                <c:pt idx="873">
                  <c:v>1.768921577915739</c:v>
                </c:pt>
                <c:pt idx="874">
                  <c:v>1.7688897948199056</c:v>
                </c:pt>
                <c:pt idx="875">
                  <c:v>1.7688580119894883</c:v>
                </c:pt>
                <c:pt idx="876">
                  <c:v>1.7688262294245085</c:v>
                </c:pt>
                <c:pt idx="877">
                  <c:v>1.7687944471249484</c:v>
                </c:pt>
                <c:pt idx="878">
                  <c:v>1.7687626650908239</c:v>
                </c:pt>
                <c:pt idx="879">
                  <c:v>1.7687308833221262</c:v>
                </c:pt>
                <c:pt idx="880">
                  <c:v>1.7686991018188518</c:v>
                </c:pt>
                <c:pt idx="881">
                  <c:v>1.7686673205810077</c:v>
                </c:pt>
                <c:pt idx="882">
                  <c:v>1.7686355396085975</c:v>
                </c:pt>
                <c:pt idx="883">
                  <c:v>1.7686037589016035</c:v>
                </c:pt>
                <c:pt idx="884">
                  <c:v>1.7685719784600469</c:v>
                </c:pt>
                <c:pt idx="885">
                  <c:v>1.76854019828391</c:v>
                </c:pt>
                <c:pt idx="886">
                  <c:v>1.7685084183732034</c:v>
                </c:pt>
                <c:pt idx="887">
                  <c:v>1.7684766387279236</c:v>
                </c:pt>
                <c:pt idx="888">
                  <c:v>1.7684448593480706</c:v>
                </c:pt>
                <c:pt idx="889">
                  <c:v>1.7684130802336391</c:v>
                </c:pt>
                <c:pt idx="890">
                  <c:v>1.7683813013846343</c:v>
                </c:pt>
                <c:pt idx="891">
                  <c:v>1.7683495228010546</c:v>
                </c:pt>
                <c:pt idx="892">
                  <c:v>1.7683177444829035</c:v>
                </c:pt>
                <c:pt idx="893">
                  <c:v>1.768285966430172</c:v>
                </c:pt>
                <c:pt idx="894">
                  <c:v>1.7682541886428655</c:v>
                </c:pt>
                <c:pt idx="895">
                  <c:v>1.7682224111209859</c:v>
                </c:pt>
                <c:pt idx="896">
                  <c:v>1.7681906338645277</c:v>
                </c:pt>
                <c:pt idx="897">
                  <c:v>1.7681588568734927</c:v>
                </c:pt>
                <c:pt idx="898">
                  <c:v>1.7681270801478846</c:v>
                </c:pt>
                <c:pt idx="899">
                  <c:v>1.7680953036876996</c:v>
                </c:pt>
                <c:pt idx="900">
                  <c:v>1.7680635274929326</c:v>
                </c:pt>
                <c:pt idx="901">
                  <c:v>1.7680317515635888</c:v>
                </c:pt>
                <c:pt idx="902">
                  <c:v>1.7679999758996754</c:v>
                </c:pt>
                <c:pt idx="903">
                  <c:v>1.7679682005011728</c:v>
                </c:pt>
                <c:pt idx="904">
                  <c:v>1.7679364253680969</c:v>
                </c:pt>
                <c:pt idx="905">
                  <c:v>1.7679046505004425</c:v>
                </c:pt>
                <c:pt idx="906">
                  <c:v>1.7678728758982114</c:v>
                </c:pt>
                <c:pt idx="907">
                  <c:v>1.7678411015613982</c:v>
                </c:pt>
                <c:pt idx="908">
                  <c:v>1.7678093274900064</c:v>
                </c:pt>
                <c:pt idx="909">
                  <c:v>1.7677775536840379</c:v>
                </c:pt>
                <c:pt idx="910">
                  <c:v>1.7677457801434837</c:v>
                </c:pt>
                <c:pt idx="911">
                  <c:v>1.7677140068683581</c:v>
                </c:pt>
                <c:pt idx="912">
                  <c:v>1.7676822338586504</c:v>
                </c:pt>
                <c:pt idx="913">
                  <c:v>1.7676504611143553</c:v>
                </c:pt>
                <c:pt idx="914">
                  <c:v>1.767618688635487</c:v>
                </c:pt>
                <c:pt idx="915">
                  <c:v>1.7675869164220384</c:v>
                </c:pt>
                <c:pt idx="916">
                  <c:v>1.7675551444740059</c:v>
                </c:pt>
                <c:pt idx="917">
                  <c:v>1.7675233727913877</c:v>
                </c:pt>
                <c:pt idx="918">
                  <c:v>1.7674916013741875</c:v>
                </c:pt>
                <c:pt idx="919">
                  <c:v>1.767459830222414</c:v>
                </c:pt>
                <c:pt idx="920">
                  <c:v>1.7674280593360496</c:v>
                </c:pt>
                <c:pt idx="921">
                  <c:v>1.7673962887151102</c:v>
                </c:pt>
                <c:pt idx="922">
                  <c:v>1.7673645183595852</c:v>
                </c:pt>
                <c:pt idx="923">
                  <c:v>1.767332748269471</c:v>
                </c:pt>
                <c:pt idx="924">
                  <c:v>1.7673009784447782</c:v>
                </c:pt>
                <c:pt idx="925">
                  <c:v>1.7672692088854998</c:v>
                </c:pt>
                <c:pt idx="926">
                  <c:v>1.7672374395916393</c:v>
                </c:pt>
                <c:pt idx="927">
                  <c:v>1.7672056705631931</c:v>
                </c:pt>
                <c:pt idx="928">
                  <c:v>1.7671739018001649</c:v>
                </c:pt>
                <c:pt idx="929">
                  <c:v>1.7671421333025474</c:v>
                </c:pt>
                <c:pt idx="930">
                  <c:v>1.7671103650703532</c:v>
                </c:pt>
                <c:pt idx="931">
                  <c:v>1.7670785971035681</c:v>
                </c:pt>
                <c:pt idx="932">
                  <c:v>1.7670468294022026</c:v>
                </c:pt>
                <c:pt idx="933">
                  <c:v>1.7670150619662444</c:v>
                </c:pt>
                <c:pt idx="934">
                  <c:v>1.7669832947957094</c:v>
                </c:pt>
                <c:pt idx="935">
                  <c:v>1.7669515278905799</c:v>
                </c:pt>
                <c:pt idx="936">
                  <c:v>1.7669197612508682</c:v>
                </c:pt>
                <c:pt idx="937">
                  <c:v>1.7668879948765692</c:v>
                </c:pt>
                <c:pt idx="938">
                  <c:v>1.7668562287676828</c:v>
                </c:pt>
                <c:pt idx="939">
                  <c:v>1.7668244629242089</c:v>
                </c:pt>
                <c:pt idx="940">
                  <c:v>1.7667926973461459</c:v>
                </c:pt>
                <c:pt idx="941">
                  <c:v>1.7667609320335007</c:v>
                </c:pt>
                <c:pt idx="942">
                  <c:v>1.7667291669862646</c:v>
                </c:pt>
                <c:pt idx="943">
                  <c:v>1.7666974022044357</c:v>
                </c:pt>
                <c:pt idx="944">
                  <c:v>1.766665637688023</c:v>
                </c:pt>
                <c:pt idx="945">
                  <c:v>1.7666338734370157</c:v>
                </c:pt>
                <c:pt idx="946">
                  <c:v>1.7666021094514281</c:v>
                </c:pt>
                <c:pt idx="947">
                  <c:v>1.7665703457312461</c:v>
                </c:pt>
                <c:pt idx="948">
                  <c:v>1.7665385822764694</c:v>
                </c:pt>
                <c:pt idx="949">
                  <c:v>1.7665068190871143</c:v>
                </c:pt>
                <c:pt idx="950">
                  <c:v>1.7664750561631646</c:v>
                </c:pt>
                <c:pt idx="951">
                  <c:v>1.7664432935046257</c:v>
                </c:pt>
                <c:pt idx="952">
                  <c:v>1.7664115311114941</c:v>
                </c:pt>
                <c:pt idx="953">
                  <c:v>1.7663797689837715</c:v>
                </c:pt>
                <c:pt idx="954">
                  <c:v>1.7663480071214579</c:v>
                </c:pt>
                <c:pt idx="955">
                  <c:v>1.7663162455245534</c:v>
                </c:pt>
                <c:pt idx="956">
                  <c:v>1.7662844841930614</c:v>
                </c:pt>
                <c:pt idx="957">
                  <c:v>1.7662527231269731</c:v>
                </c:pt>
                <c:pt idx="958">
                  <c:v>1.7662209623262903</c:v>
                </c:pt>
                <c:pt idx="959">
                  <c:v>1.7661892017910166</c:v>
                </c:pt>
                <c:pt idx="960">
                  <c:v>1.7661574415211518</c:v>
                </c:pt>
                <c:pt idx="961">
                  <c:v>1.7661256815166997</c:v>
                </c:pt>
                <c:pt idx="962">
                  <c:v>1.7660939217776424</c:v>
                </c:pt>
                <c:pt idx="963">
                  <c:v>1.7660621623040011</c:v>
                </c:pt>
                <c:pt idx="964">
                  <c:v>1.7660304030957601</c:v>
                </c:pt>
                <c:pt idx="965">
                  <c:v>1.7659986441529245</c:v>
                </c:pt>
                <c:pt idx="966">
                  <c:v>1.765966885475498</c:v>
                </c:pt>
                <c:pt idx="967">
                  <c:v>1.7659351270634751</c:v>
                </c:pt>
                <c:pt idx="968">
                  <c:v>1.7659033689168595</c:v>
                </c:pt>
                <c:pt idx="969">
                  <c:v>1.7658716110356512</c:v>
                </c:pt>
                <c:pt idx="970">
                  <c:v>1.765839853419843</c:v>
                </c:pt>
                <c:pt idx="971">
                  <c:v>1.7658080960694438</c:v>
                </c:pt>
                <c:pt idx="972">
                  <c:v>1.7657763389844483</c:v>
                </c:pt>
                <c:pt idx="973">
                  <c:v>1.7657445821648512</c:v>
                </c:pt>
                <c:pt idx="974">
                  <c:v>1.7657128256106649</c:v>
                </c:pt>
                <c:pt idx="975">
                  <c:v>1.7656810693218787</c:v>
                </c:pt>
                <c:pt idx="976">
                  <c:v>1.7656493132984945</c:v>
                </c:pt>
                <c:pt idx="977">
                  <c:v>1.7656175575405157</c:v>
                </c:pt>
                <c:pt idx="978">
                  <c:v>1.7655858020479354</c:v>
                </c:pt>
                <c:pt idx="979">
                  <c:v>1.7655540468207622</c:v>
                </c:pt>
                <c:pt idx="980">
                  <c:v>1.7655222918589928</c:v>
                </c:pt>
                <c:pt idx="981">
                  <c:v>1.7654905371626182</c:v>
                </c:pt>
                <c:pt idx="982">
                  <c:v>1.7654587827316508</c:v>
                </c:pt>
                <c:pt idx="983">
                  <c:v>1.7654270285660871</c:v>
                </c:pt>
                <c:pt idx="984">
                  <c:v>1.765395274665913</c:v>
                </c:pt>
                <c:pt idx="985">
                  <c:v>1.7653635210311478</c:v>
                </c:pt>
                <c:pt idx="986">
                  <c:v>1.7653317676617846</c:v>
                </c:pt>
                <c:pt idx="987">
                  <c:v>1.7653000145578233</c:v>
                </c:pt>
                <c:pt idx="988">
                  <c:v>1.7652682617192585</c:v>
                </c:pt>
                <c:pt idx="989">
                  <c:v>1.7652365091460904</c:v>
                </c:pt>
                <c:pt idx="990">
                  <c:v>1.765204756838326</c:v>
                </c:pt>
                <c:pt idx="991">
                  <c:v>1.76517300479596</c:v>
                </c:pt>
                <c:pt idx="992">
                  <c:v>1.7651412530189905</c:v>
                </c:pt>
                <c:pt idx="993">
                  <c:v>1.765109501507423</c:v>
                </c:pt>
                <c:pt idx="994">
                  <c:v>1.765077750261252</c:v>
                </c:pt>
                <c:pt idx="995">
                  <c:v>1.7650459992804812</c:v>
                </c:pt>
                <c:pt idx="996">
                  <c:v>1.7650142485651052</c:v>
                </c:pt>
                <c:pt idx="997">
                  <c:v>1.7649824981151347</c:v>
                </c:pt>
                <c:pt idx="998">
                  <c:v>1.7649507479305555</c:v>
                </c:pt>
                <c:pt idx="999">
                  <c:v>1.7649189980113693</c:v>
                </c:pt>
                <c:pt idx="1000">
                  <c:v>1.7648872483575868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33-45DE-97F3-E9553C4910C3}"/>
            </c:ext>
          </c:extLst>
        </c:ser>
        <c:ser>
          <c:idx val="1"/>
          <c:order val="1"/>
          <c:tx>
            <c:strRef>
              <c:f>Courbes!$B$138</c:f>
              <c:strCache>
                <c:ptCount val="1"/>
                <c:pt idx="0">
                  <c:v>Charge vue par un capteur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Calculs!$AH$4:$AH$1004</c:f>
              <c:numCache>
                <c:formatCode>0.00</c:formatCode>
                <c:ptCount val="1001"/>
                <c:pt idx="0">
                  <c:v>0</c:v>
                </c:pt>
                <c:pt idx="1">
                  <c:v>11.325944930870074</c:v>
                </c:pt>
                <c:pt idx="2">
                  <c:v>33.983629550259352</c:v>
                </c:pt>
                <c:pt idx="3">
                  <c:v>56.655460938211554</c:v>
                </c:pt>
                <c:pt idx="4">
                  <c:v>79.349060982212492</c:v>
                </c:pt>
                <c:pt idx="5">
                  <c:v>102.07195599562164</c:v>
                </c:pt>
                <c:pt idx="6">
                  <c:v>113.34238827537297</c:v>
                </c:pt>
                <c:pt idx="7">
                  <c:v>113.13599862819304</c:v>
                </c:pt>
                <c:pt idx="8">
                  <c:v>112.92838899511494</c:v>
                </c:pt>
                <c:pt idx="9">
                  <c:v>112.71956322919391</c:v>
                </c:pt>
                <c:pt idx="10">
                  <c:v>112.50952523625051</c:v>
                </c:pt>
                <c:pt idx="11">
                  <c:v>112.29827897453892</c:v>
                </c:pt>
                <c:pt idx="12">
                  <c:v>112.08582845440965</c:v>
                </c:pt>
                <c:pt idx="13">
                  <c:v>111.87217773796716</c:v>
                </c:pt>
                <c:pt idx="14">
                  <c:v>111.65733093872213</c:v>
                </c:pt>
                <c:pt idx="15">
                  <c:v>111.44129222123856</c:v>
                </c:pt>
                <c:pt idx="16">
                  <c:v>111.22406580077588</c:v>
                </c:pt>
                <c:pt idx="17">
                  <c:v>111.00565594292584</c:v>
                </c:pt>
                <c:pt idx="18">
                  <c:v>110.78606696324454</c:v>
                </c:pt>
                <c:pt idx="19">
                  <c:v>110.56530322687938</c:v>
                </c:pt>
                <c:pt idx="20">
                  <c:v>110.34336914819129</c:v>
                </c:pt>
                <c:pt idx="21">
                  <c:v>110.12026919037197</c:v>
                </c:pt>
                <c:pt idx="22">
                  <c:v>109.89600786505645</c:v>
                </c:pt>
                <c:pt idx="23">
                  <c:v>109.67058973193102</c:v>
                </c:pt>
                <c:pt idx="24">
                  <c:v>109.44401939833629</c:v>
                </c:pt>
                <c:pt idx="25">
                  <c:v>109.21630151886596</c:v>
                </c:pt>
                <c:pt idx="26">
                  <c:v>108.98744079496085</c:v>
                </c:pt>
                <c:pt idx="27">
                  <c:v>108.75744197449856</c:v>
                </c:pt>
                <c:pt idx="28">
                  <c:v>108.52630985137885</c:v>
                </c:pt>
                <c:pt idx="29">
                  <c:v>108.29404926510446</c:v>
                </c:pt>
                <c:pt idx="30">
                  <c:v>108.06066510035785</c:v>
                </c:pt>
                <c:pt idx="31">
                  <c:v>107.82616228657385</c:v>
                </c:pt>
                <c:pt idx="32">
                  <c:v>107.59054579750781</c:v>
                </c:pt>
                <c:pt idx="33">
                  <c:v>107.35382062256922</c:v>
                </c:pt>
                <c:pt idx="34">
                  <c:v>107.11599178957607</c:v>
                </c:pt>
                <c:pt idx="35">
                  <c:v>106.87706439834396</c:v>
                </c:pt>
                <c:pt idx="36">
                  <c:v>106.63704359135858</c:v>
                </c:pt>
                <c:pt idx="37">
                  <c:v>106.39593455331888</c:v>
                </c:pt>
                <c:pt idx="38">
                  <c:v>106.15374251067666</c:v>
                </c:pt>
                <c:pt idx="39">
                  <c:v>105.91047273117302</c:v>
                </c:pt>
                <c:pt idx="40">
                  <c:v>105.66613052337169</c:v>
                </c:pt>
                <c:pt idx="41">
                  <c:v>105.42072123618915</c:v>
                </c:pt>
                <c:pt idx="42">
                  <c:v>105.17425025842184</c:v>
                </c:pt>
                <c:pt idx="43">
                  <c:v>104.92672301827025</c:v>
                </c:pt>
                <c:pt idx="44">
                  <c:v>104.67814498285991</c:v>
                </c:pt>
                <c:pt idx="45">
                  <c:v>104.42852165775965</c:v>
                </c:pt>
                <c:pt idx="46">
                  <c:v>104.17785858649685</c:v>
                </c:pt>
                <c:pt idx="47">
                  <c:v>103.92616135006983</c:v>
                </c:pt>
                <c:pt idx="48">
                  <c:v>103.67343556645758</c:v>
                </c:pt>
                <c:pt idx="49">
                  <c:v>103.41968689012656</c:v>
                </c:pt>
                <c:pt idx="50">
                  <c:v>103.1649210115351</c:v>
                </c:pt>
                <c:pt idx="51">
                  <c:v>102.9698032469382</c:v>
                </c:pt>
                <c:pt idx="52">
                  <c:v>102.83444194155659</c:v>
                </c:pt>
                <c:pt idx="53">
                  <c:v>102.69822066343424</c:v>
                </c:pt>
                <c:pt idx="54">
                  <c:v>102.56114194734583</c:v>
                </c:pt>
                <c:pt idx="55">
                  <c:v>102.42320836021753</c:v>
                </c:pt>
                <c:pt idx="56">
                  <c:v>102.28442250093948</c:v>
                </c:pt>
                <c:pt idx="57">
                  <c:v>102.14478700017567</c:v>
                </c:pt>
                <c:pt idx="58">
                  <c:v>102.00430452017135</c:v>
                </c:pt>
                <c:pt idx="59">
                  <c:v>101.86297775455759</c:v>
                </c:pt>
                <c:pt idx="60">
                  <c:v>101.72080942815364</c:v>
                </c:pt>
                <c:pt idx="61">
                  <c:v>101.57780229676649</c:v>
                </c:pt>
                <c:pt idx="62">
                  <c:v>101.43395914698809</c:v>
                </c:pt>
                <c:pt idx="63">
                  <c:v>101.28928279599003</c:v>
                </c:pt>
                <c:pt idx="64">
                  <c:v>101.14377609131577</c:v>
                </c:pt>
                <c:pt idx="65">
                  <c:v>100.99744191067056</c:v>
                </c:pt>
                <c:pt idx="66">
                  <c:v>100.85028316170865</c:v>
                </c:pt>
                <c:pt idx="67">
                  <c:v>100.70230278181857</c:v>
                </c:pt>
                <c:pt idx="68">
                  <c:v>100.55350373790564</c:v>
                </c:pt>
                <c:pt idx="69">
                  <c:v>100.40388902617252</c:v>
                </c:pt>
                <c:pt idx="70">
                  <c:v>100.25346167189709</c:v>
                </c:pt>
                <c:pt idx="71">
                  <c:v>100.1022247292084</c:v>
                </c:pt>
                <c:pt idx="72">
                  <c:v>99.950181280860278</c:v>
                </c:pt>
                <c:pt idx="73">
                  <c:v>99.797334438002522</c:v>
                </c:pt>
                <c:pt idx="74">
                  <c:v>99.643687339950318</c:v>
                </c:pt>
                <c:pt idx="75">
                  <c:v>99.48924315395108</c:v>
                </c:pt>
                <c:pt idx="76">
                  <c:v>99.33400507494953</c:v>
                </c:pt>
                <c:pt idx="77">
                  <c:v>99.177976325350372</c:v>
                </c:pt>
                <c:pt idx="78">
                  <c:v>99.021160154779224</c:v>
                </c:pt>
                <c:pt idx="79">
                  <c:v>98.86355983984123</c:v>
                </c:pt>
                <c:pt idx="80">
                  <c:v>98.705178683877861</c:v>
                </c:pt>
                <c:pt idx="81">
                  <c:v>98.546020016721698</c:v>
                </c:pt>
                <c:pt idx="82">
                  <c:v>98.38608719444926</c:v>
                </c:pt>
                <c:pt idx="83">
                  <c:v>98.225383599131959</c:v>
                </c:pt>
                <c:pt idx="84">
                  <c:v>98.063912638585194</c:v>
                </c:pt>
                <c:pt idx="85">
                  <c:v>97.901677746115553</c:v>
                </c:pt>
                <c:pt idx="86">
                  <c:v>97.738682380266312</c:v>
                </c:pt>
                <c:pt idx="87">
                  <c:v>97.574930024560999</c:v>
                </c:pt>
                <c:pt idx="88">
                  <c:v>97.410424187245411</c:v>
                </c:pt>
                <c:pt idx="89">
                  <c:v>97.245168401027868</c:v>
                </c:pt>
                <c:pt idx="90">
                  <c:v>97.079166222817605</c:v>
                </c:pt>
                <c:pt idx="91">
                  <c:v>96.91242123346197</c:v>
                </c:pt>
                <c:pt idx="92">
                  <c:v>96.744937037481435</c:v>
                </c:pt>
                <c:pt idx="93">
                  <c:v>96.576717262803598</c:v>
                </c:pt>
                <c:pt idx="94">
                  <c:v>96.407765560495278</c:v>
                </c:pt>
                <c:pt idx="95">
                  <c:v>96.238085604493278</c:v>
                </c:pt>
                <c:pt idx="96">
                  <c:v>96.067681091333711</c:v>
                </c:pt>
                <c:pt idx="97">
                  <c:v>95.896555739879673</c:v>
                </c:pt>
                <c:pt idx="98">
                  <c:v>95.724713291047905</c:v>
                </c:pt>
                <c:pt idx="99">
                  <c:v>95.552157507533721</c:v>
                </c:pt>
                <c:pt idx="100">
                  <c:v>95.378892173534837</c:v>
                </c:pt>
                <c:pt idx="101">
                  <c:v>95.176856495090647</c:v>
                </c:pt>
                <c:pt idx="102">
                  <c:v>94.946020631658001</c:v>
                </c:pt>
                <c:pt idx="103">
                  <c:v>94.714448041330499</c:v>
                </c:pt>
                <c:pt idx="104">
                  <c:v>94.482144053837303</c:v>
                </c:pt>
                <c:pt idx="105">
                  <c:v>94.249114016767138</c:v>
                </c:pt>
                <c:pt idx="106">
                  <c:v>94.015363295155751</c:v>
                </c:pt>
                <c:pt idx="107">
                  <c:v>93.780897271073044</c:v>
                </c:pt>
                <c:pt idx="108">
                  <c:v>93.54572134320982</c:v>
                </c:pt>
                <c:pt idx="109">
                  <c:v>93.309840926464247</c:v>
                </c:pt>
                <c:pt idx="110">
                  <c:v>93.073261451528055</c:v>
                </c:pt>
                <c:pt idx="111">
                  <c:v>92.835988364472456</c:v>
                </c:pt>
                <c:pt idx="112">
                  <c:v>92.598027126334216</c:v>
                </c:pt>
                <c:pt idx="113">
                  <c:v>92.359383212701161</c:v>
                </c:pt>
                <c:pt idx="114">
                  <c:v>92.120062113298204</c:v>
                </c:pt>
                <c:pt idx="115">
                  <c:v>91.880069331572926</c:v>
                </c:pt>
                <c:pt idx="116">
                  <c:v>91.639410384281533</c:v>
                </c:pt>
                <c:pt idx="117">
                  <c:v>91.398090801074716</c:v>
                </c:pt>
                <c:pt idx="118">
                  <c:v>91.156116124083923</c:v>
                </c:pt>
                <c:pt idx="119">
                  <c:v>90.913491907507648</c:v>
                </c:pt>
                <c:pt idx="120">
                  <c:v>90.670223717198155</c:v>
                </c:pt>
                <c:pt idx="121">
                  <c:v>90.426317130248407</c:v>
                </c:pt>
                <c:pt idx="122">
                  <c:v>90.181777734579512</c:v>
                </c:pt>
                <c:pt idx="123">
                  <c:v>89.936611128528511</c:v>
                </c:pt>
                <c:pt idx="124">
                  <c:v>89.690822920436617</c:v>
                </c:pt>
                <c:pt idx="125">
                  <c:v>89.444418728238205</c:v>
                </c:pt>
                <c:pt idx="126">
                  <c:v>89.197404179050082</c:v>
                </c:pt>
                <c:pt idx="127">
                  <c:v>88.949784908761643</c:v>
                </c:pt>
                <c:pt idx="128">
                  <c:v>88.701566561625611</c:v>
                </c:pt>
                <c:pt idx="129">
                  <c:v>88.452754789849394</c:v>
                </c:pt>
                <c:pt idx="130">
                  <c:v>88.203355253187581</c:v>
                </c:pt>
                <c:pt idx="131">
                  <c:v>87.953373618534812</c:v>
                </c:pt>
                <c:pt idx="132">
                  <c:v>87.702815559519905</c:v>
                </c:pt>
                <c:pt idx="133">
                  <c:v>87.451686756100685</c:v>
                </c:pt>
                <c:pt idx="134">
                  <c:v>87.199992894159891</c:v>
                </c:pt>
                <c:pt idx="135">
                  <c:v>86.947739665102006</c:v>
                </c:pt>
                <c:pt idx="136">
                  <c:v>86.694932765451327</c:v>
                </c:pt>
                <c:pt idx="137">
                  <c:v>86.441577896450966</c:v>
                </c:pt>
                <c:pt idx="138">
                  <c:v>86.187680763663138</c:v>
                </c:pt>
                <c:pt idx="139">
                  <c:v>85.933247076570581</c:v>
                </c:pt>
                <c:pt idx="140">
                  <c:v>85.678282548179126</c:v>
                </c:pt>
                <c:pt idx="141">
                  <c:v>85.422792894621878</c:v>
                </c:pt>
                <c:pt idx="142">
                  <c:v>85.166783834764431</c:v>
                </c:pt>
                <c:pt idx="143">
                  <c:v>84.910261089811542</c:v>
                </c:pt>
                <c:pt idx="144">
                  <c:v>84.653230382915268</c:v>
                </c:pt>
                <c:pt idx="145">
                  <c:v>84.395697438784524</c:v>
                </c:pt>
                <c:pt idx="146">
                  <c:v>84.137667983296211</c:v>
                </c:pt>
                <c:pt idx="147">
                  <c:v>83.879147743107893</c:v>
                </c:pt>
                <c:pt idx="148">
                  <c:v>83.620142445271838</c:v>
                </c:pt>
                <c:pt idx="149">
                  <c:v>83.360657816851088</c:v>
                </c:pt>
                <c:pt idx="150">
                  <c:v>83.100699584536869</c:v>
                </c:pt>
                <c:pt idx="151">
                  <c:v>82.849851655753668</c:v>
                </c:pt>
                <c:pt idx="152">
                  <c:v>82.608126102087482</c:v>
                </c:pt>
                <c:pt idx="153">
                  <c:v>82.365947872426659</c:v>
                </c:pt>
                <c:pt idx="154">
                  <c:v>82.123322217902228</c:v>
                </c:pt>
                <c:pt idx="155">
                  <c:v>81.880254389463673</c:v>
                </c:pt>
                <c:pt idx="156">
                  <c:v>81.636749637542053</c:v>
                </c:pt>
                <c:pt idx="157">
                  <c:v>81.392813211714625</c:v>
                </c:pt>
                <c:pt idx="158">
                  <c:v>81.148450360370887</c:v>
                </c:pt>
                <c:pt idx="159">
                  <c:v>80.903666330380233</c:v>
                </c:pt>
                <c:pt idx="160">
                  <c:v>80.658466366761445</c:v>
                </c:pt>
                <c:pt idx="161">
                  <c:v>80.412855712353547</c:v>
                </c:pt>
                <c:pt idx="162">
                  <c:v>80.166839607488328</c:v>
                </c:pt>
                <c:pt idx="163">
                  <c:v>79.920423289664853</c:v>
                </c:pt>
                <c:pt idx="164">
                  <c:v>79.673611993225379</c:v>
                </c:pt>
                <c:pt idx="165">
                  <c:v>79.426410949033183</c:v>
                </c:pt>
                <c:pt idx="166">
                  <c:v>79.17882538415229</c:v>
                </c:pt>
                <c:pt idx="167">
                  <c:v>78.930860521528743</c:v>
                </c:pt>
                <c:pt idx="168">
                  <c:v>78.682521579673946</c:v>
                </c:pt>
                <c:pt idx="169">
                  <c:v>78.433813772349836</c:v>
                </c:pt>
                <c:pt idx="170">
                  <c:v>78.184742308255906</c:v>
                </c:pt>
                <c:pt idx="171">
                  <c:v>77.935312390718224</c:v>
                </c:pt>
                <c:pt idx="172">
                  <c:v>77.685529217380306</c:v>
                </c:pt>
                <c:pt idx="173">
                  <c:v>77.435397979896138</c:v>
                </c:pt>
                <c:pt idx="174">
                  <c:v>77.184923863625016</c:v>
                </c:pt>
                <c:pt idx="175">
                  <c:v>76.934112047328611</c:v>
                </c:pt>
                <c:pt idx="176">
                  <c:v>76.682967702869874</c:v>
                </c:pt>
                <c:pt idx="177">
                  <c:v>76.431495994914329</c:v>
                </c:pt>
                <c:pt idx="178">
                  <c:v>76.179702080633078</c:v>
                </c:pt>
                <c:pt idx="179">
                  <c:v>75.927591109408311</c:v>
                </c:pt>
                <c:pt idx="180">
                  <c:v>75.675168222540762</c:v>
                </c:pt>
                <c:pt idx="181">
                  <c:v>75.422438552959321</c:v>
                </c:pt>
                <c:pt idx="182">
                  <c:v>75.169407224933039</c:v>
                </c:pt>
                <c:pt idx="183">
                  <c:v>74.916079353785094</c:v>
                </c:pt>
                <c:pt idx="184">
                  <c:v>74.662460045609222</c:v>
                </c:pt>
                <c:pt idx="185">
                  <c:v>74.408554396988222</c:v>
                </c:pt>
                <c:pt idx="186">
                  <c:v>74.154367494714904</c:v>
                </c:pt>
                <c:pt idx="187">
                  <c:v>73.899904415515223</c:v>
                </c:pt>
                <c:pt idx="188">
                  <c:v>73.64517022577374</c:v>
                </c:pt>
                <c:pt idx="189">
                  <c:v>73.390169981261522</c:v>
                </c:pt>
                <c:pt idx="190">
                  <c:v>73.134908726866314</c:v>
                </c:pt>
                <c:pt idx="191">
                  <c:v>72.87939149632497</c:v>
                </c:pt>
                <c:pt idx="192">
                  <c:v>72.623623311958568</c:v>
                </c:pt>
                <c:pt idx="193">
                  <c:v>72.367609184409702</c:v>
                </c:pt>
                <c:pt idx="194">
                  <c:v>72.111354112382102</c:v>
                </c:pt>
                <c:pt idx="195">
                  <c:v>71.854863082383091</c:v>
                </c:pt>
                <c:pt idx="196">
                  <c:v>71.598141068468067</c:v>
                </c:pt>
                <c:pt idx="197">
                  <c:v>71.341193031987743</c:v>
                </c:pt>
                <c:pt idx="198">
                  <c:v>71.084023921337604</c:v>
                </c:pt>
                <c:pt idx="199">
                  <c:v>70.826638671710157</c:v>
                </c:pt>
                <c:pt idx="200">
                  <c:v>70.569042204849509</c:v>
                </c:pt>
                <c:pt idx="201">
                  <c:v>70.311239428808449</c:v>
                </c:pt>
                <c:pt idx="202">
                  <c:v>70.053235237708108</c:v>
                </c:pt>
                <c:pt idx="203">
                  <c:v>69.795034511500276</c:v>
                </c:pt>
                <c:pt idx="204">
                  <c:v>69.536642115732022</c:v>
                </c:pt>
                <c:pt idx="205">
                  <c:v>69.278062901313163</c:v>
                </c:pt>
                <c:pt idx="206">
                  <c:v>69.01930170428605</c:v>
                </c:pt>
                <c:pt idx="207">
                  <c:v>68.760363345598122</c:v>
                </c:pt>
                <c:pt idx="208">
                  <c:v>68.50125263087709</c:v>
                </c:pt>
                <c:pt idx="209">
                  <c:v>68.241974350208395</c:v>
                </c:pt>
                <c:pt idx="210">
                  <c:v>67.982533277915806</c:v>
                </c:pt>
                <c:pt idx="211">
                  <c:v>67.722934172344139</c:v>
                </c:pt>
                <c:pt idx="212">
                  <c:v>67.463181775644912</c:v>
                </c:pt>
                <c:pt idx="213">
                  <c:v>67.203280813564589</c:v>
                </c:pt>
                <c:pt idx="214">
                  <c:v>66.94323599523527</c:v>
                </c:pt>
                <c:pt idx="215">
                  <c:v>66.683052012968361</c:v>
                </c:pt>
                <c:pt idx="216">
                  <c:v>66.422733542050665</c:v>
                </c:pt>
                <c:pt idx="217">
                  <c:v>66.162285240543085</c:v>
                </c:pt>
                <c:pt idx="218">
                  <c:v>65.901711749082281</c:v>
                </c:pt>
                <c:pt idx="219">
                  <c:v>65.641017690684635</c:v>
                </c:pt>
                <c:pt idx="220">
                  <c:v>65.380207670553261</c:v>
                </c:pt>
                <c:pt idx="221">
                  <c:v>65.119286275887362</c:v>
                </c:pt>
                <c:pt idx="222">
                  <c:v>64.858258075694437</c:v>
                </c:pt>
                <c:pt idx="223">
                  <c:v>64.597127620605164</c:v>
                </c:pt>
                <c:pt idx="224">
                  <c:v>64.335899442690973</c:v>
                </c:pt>
                <c:pt idx="225">
                  <c:v>64.074578055284249</c:v>
                </c:pt>
                <c:pt idx="226">
                  <c:v>63.813167952801244</c:v>
                </c:pt>
                <c:pt idx="227">
                  <c:v>63.551673610567789</c:v>
                </c:pt>
                <c:pt idx="228">
                  <c:v>63.290099484647449</c:v>
                </c:pt>
                <c:pt idx="229">
                  <c:v>63.028450011672625</c:v>
                </c:pt>
                <c:pt idx="230">
                  <c:v>62.76672960867834</c:v>
                </c:pt>
                <c:pt idx="231">
                  <c:v>62.50494267293837</c:v>
                </c:pt>
                <c:pt idx="232">
                  <c:v>62.243093581804573</c:v>
                </c:pt>
                <c:pt idx="233">
                  <c:v>61.981186692548505</c:v>
                </c:pt>
                <c:pt idx="234">
                  <c:v>61.719226342205872</c:v>
                </c:pt>
                <c:pt idx="235">
                  <c:v>61.457216847423823</c:v>
                </c:pt>
                <c:pt idx="236">
                  <c:v>61.19516250431051</c:v>
                </c:pt>
                <c:pt idx="237">
                  <c:v>60.933067588287855</c:v>
                </c:pt>
                <c:pt idx="238">
                  <c:v>60.67093635394648</c:v>
                </c:pt>
                <c:pt idx="239">
                  <c:v>60.408773034903739</c:v>
                </c:pt>
                <c:pt idx="240">
                  <c:v>60.146581843664187</c:v>
                </c:pt>
                <c:pt idx="241">
                  <c:v>59.884366971482663</c:v>
                </c:pt>
                <c:pt idx="242">
                  <c:v>59.622132588230322</c:v>
                </c:pt>
                <c:pt idx="243">
                  <c:v>59.359882842262927</c:v>
                </c:pt>
                <c:pt idx="244">
                  <c:v>59.097621860292136</c:v>
                </c:pt>
                <c:pt idx="245">
                  <c:v>58.835353747259255</c:v>
                </c:pt>
                <c:pt idx="246">
                  <c:v>58.573082586211662</c:v>
                </c:pt>
                <c:pt idx="247">
                  <c:v>58.31081243818187</c:v>
                </c:pt>
                <c:pt idx="248">
                  <c:v>58.048547342069178</c:v>
                </c:pt>
                <c:pt idx="249">
                  <c:v>57.786291314524107</c:v>
                </c:pt>
                <c:pt idx="250">
                  <c:v>57.524048349835127</c:v>
                </c:pt>
                <c:pt idx="251">
                  <c:v>57.220306056905237</c:v>
                </c:pt>
                <c:pt idx="252">
                  <c:v>56.875079496495253</c:v>
                </c:pt>
                <c:pt idx="253">
                  <c:v>56.529931391459158</c:v>
                </c:pt>
                <c:pt idx="254">
                  <c:v>56.184867210124786</c:v>
                </c:pt>
                <c:pt idx="255">
                  <c:v>55.839892381967957</c:v>
                </c:pt>
                <c:pt idx="256">
                  <c:v>55.495012297480976</c:v>
                </c:pt>
                <c:pt idx="257">
                  <c:v>55.150232308045844</c:v>
                </c:pt>
                <c:pt idx="258">
                  <c:v>54.805557725812179</c:v>
                </c:pt>
                <c:pt idx="259">
                  <c:v>54.460993823579678</c:v>
                </c:pt>
                <c:pt idx="260">
                  <c:v>54.116545834685326</c:v>
                </c:pt>
                <c:pt idx="261">
                  <c:v>53.772218952895187</c:v>
                </c:pt>
                <c:pt idx="262">
                  <c:v>53.42801833230061</c:v>
                </c:pt>
                <c:pt idx="263">
                  <c:v>53.083949087219224</c:v>
                </c:pt>
                <c:pt idx="264">
                  <c:v>52.740016292100179</c:v>
                </c:pt>
                <c:pt idx="265">
                  <c:v>52.396224981434145</c:v>
                </c:pt>
                <c:pt idx="266">
                  <c:v>52.052580149667506</c:v>
                </c:pt>
                <c:pt idx="267">
                  <c:v>51.709086751121134</c:v>
                </c:pt>
                <c:pt idx="268">
                  <c:v>51.365749699913572</c:v>
                </c:pt>
                <c:pt idx="269">
                  <c:v>51.022573869888404</c:v>
                </c:pt>
                <c:pt idx="270">
                  <c:v>50.679564094546251</c:v>
                </c:pt>
                <c:pt idx="271">
                  <c:v>50.336725166980727</c:v>
                </c:pt>
                <c:pt idx="272">
                  <c:v>49.994061839818926</c:v>
                </c:pt>
                <c:pt idx="273">
                  <c:v>49.651578825166077</c:v>
                </c:pt>
                <c:pt idx="274">
                  <c:v>49.309280794554269</c:v>
                </c:pt>
                <c:pt idx="275">
                  <c:v>48.967172378895611</c:v>
                </c:pt>
                <c:pt idx="276">
                  <c:v>48.625258168439288</c:v>
                </c:pt>
                <c:pt idx="277">
                  <c:v>48.283542712732789</c:v>
                </c:pt>
                <c:pt idx="278">
                  <c:v>47.942030520587267</c:v>
                </c:pt>
                <c:pt idx="279">
                  <c:v>47.600726060046931</c:v>
                </c:pt>
                <c:pt idx="280">
                  <c:v>47.259633758362362</c:v>
                </c:pt>
                <c:pt idx="281">
                  <c:v>46.918758001967824</c:v>
                </c:pt>
                <c:pt idx="282">
                  <c:v>46.578103136462566</c:v>
                </c:pt>
                <c:pt idx="283">
                  <c:v>46.237673466595957</c:v>
                </c:pt>
                <c:pt idx="284">
                  <c:v>45.897473256256482</c:v>
                </c:pt>
                <c:pt idx="285">
                  <c:v>45.557506728464624</c:v>
                </c:pt>
                <c:pt idx="286">
                  <c:v>45.217778065369444</c:v>
                </c:pt>
                <c:pt idx="287">
                  <c:v>44.878291408249005</c:v>
                </c:pt>
                <c:pt idx="288">
                  <c:v>44.539050857514404</c:v>
                </c:pt>
                <c:pt idx="289">
                  <c:v>44.200060472717624</c:v>
                </c:pt>
                <c:pt idx="290">
                  <c:v>43.861324272562889</c:v>
                </c:pt>
                <c:pt idx="291">
                  <c:v>43.522846234921666</c:v>
                </c:pt>
                <c:pt idx="292">
                  <c:v>43.184630296851353</c:v>
                </c:pt>
                <c:pt idx="293">
                  <c:v>42.846680354617206</c:v>
                </c:pt>
                <c:pt idx="294">
                  <c:v>42.509000263718143</c:v>
                </c:pt>
                <c:pt idx="295">
                  <c:v>42.171593838915662</c:v>
                </c:pt>
                <c:pt idx="296">
                  <c:v>41.834464854266322</c:v>
                </c:pt>
                <c:pt idx="297">
                  <c:v>41.497617043157696</c:v>
                </c:pt>
                <c:pt idx="298">
                  <c:v>40.704636695703634</c:v>
                </c:pt>
                <c:pt idx="299">
                  <c:v>39.455861256431952</c:v>
                </c:pt>
                <c:pt idx="300">
                  <c:v>38.208333041389317</c:v>
                </c:pt>
                <c:pt idx="301">
                  <c:v>36.962081572866737</c:v>
                </c:pt>
                <c:pt idx="302">
                  <c:v>35.717135880871268</c:v>
                </c:pt>
                <c:pt idx="303">
                  <c:v>34.47352450333721</c:v>
                </c:pt>
                <c:pt idx="304">
                  <c:v>33.231275486434491</c:v>
                </c:pt>
                <c:pt idx="305">
                  <c:v>31.990416384972772</c:v>
                </c:pt>
                <c:pt idx="306">
                  <c:v>30.750974262899408</c:v>
                </c:pt>
                <c:pt idx="307">
                  <c:v>29.512975693890258</c:v>
                </c:pt>
                <c:pt idx="308">
                  <c:v>28.276446762030975</c:v>
                </c:pt>
                <c:pt idx="309">
                  <c:v>27.041413062587832</c:v>
                </c:pt>
                <c:pt idx="310">
                  <c:v>25.807899702866113</c:v>
                </c:pt>
                <c:pt idx="311">
                  <c:v>24.575931303154562</c:v>
                </c:pt>
                <c:pt idx="312">
                  <c:v>23.345531997754229</c:v>
                </c:pt>
                <c:pt idx="313">
                  <c:v>22.116725436090061</c:v>
                </c:pt>
                <c:pt idx="314">
                  <c:v>20.889534783903596</c:v>
                </c:pt>
                <c:pt idx="315">
                  <c:v>19.663982724525191</c:v>
                </c:pt>
                <c:pt idx="316">
                  <c:v>18.440091460224039</c:v>
                </c:pt>
                <c:pt idx="317">
                  <c:v>17.21788271363436</c:v>
                </c:pt>
                <c:pt idx="318">
                  <c:v>15.997377729256089</c:v>
                </c:pt>
                <c:pt idx="319">
                  <c:v>14.778597275028405</c:v>
                </c:pt>
                <c:pt idx="320">
                  <c:v>13.561561643974525</c:v>
                </c:pt>
                <c:pt idx="321">
                  <c:v>12.527888424023374</c:v>
                </c:pt>
                <c:pt idx="322">
                  <c:v>11.677354755235696</c:v>
                </c:pt>
                <c:pt idx="323">
                  <c:v>10.828076614904848</c:v>
                </c:pt>
                <c:pt idx="324">
                  <c:v>9.9800624097350994</c:v>
                </c:pt>
                <c:pt idx="325">
                  <c:v>9.1333203190456587</c:v>
                </c:pt>
                <c:pt idx="326">
                  <c:v>8.2878582959376192</c:v>
                </c:pt>
                <c:pt idx="327">
                  <c:v>7.4436840684790866</c:v>
                </c:pt>
                <c:pt idx="328">
                  <c:v>6.6008051409081379</c:v>
                </c:pt>
                <c:pt idx="329">
                  <c:v>5.759228794852973</c:v>
                </c:pt>
                <c:pt idx="330">
                  <c:v>4.9189620905686695</c:v>
                </c:pt>
                <c:pt idx="331">
                  <c:v>4.0800118681899393</c:v>
                </c:pt>
                <c:pt idx="332">
                  <c:v>3.2423847489995787</c:v>
                </c:pt>
                <c:pt idx="333">
                  <c:v>2.4060871367117325</c:v>
                </c:pt>
                <c:pt idx="334">
                  <c:v>1.5711252187696996</c:v>
                </c:pt>
                <c:pt idx="335">
                  <c:v>0.73750496765756024</c:v>
                </c:pt>
                <c:pt idx="336">
                  <c:v>-9.476785777476629E-2</c:v>
                </c:pt>
                <c:pt idx="337">
                  <c:v>-0.92568771097360236</c:v>
                </c:pt>
                <c:pt idx="338">
                  <c:v>-1.7552492563313791</c:v>
                </c:pt>
                <c:pt idx="339">
                  <c:v>-2.5834473678245899</c:v>
                </c:pt>
                <c:pt idx="340">
                  <c:v>-3.410277127640545</c:v>
                </c:pt>
                <c:pt idx="341">
                  <c:v>-4.2357338247932743</c:v>
                </c:pt>
                <c:pt idx="342">
                  <c:v>-5.0598129537292182</c:v>
                </c:pt>
                <c:pt idx="343">
                  <c:v>-5.8825102129231102</c:v>
                </c:pt>
                <c:pt idx="344">
                  <c:v>-6.7038215034645621</c:v>
                </c:pt>
                <c:pt idx="345">
                  <c:v>-7.5237429276359098</c:v>
                </c:pt>
                <c:pt idx="346">
                  <c:v>-8.3422707874816844</c:v>
                </c:pt>
                <c:pt idx="347">
                  <c:v>-9.1594015833702933</c:v>
                </c:pt>
                <c:pt idx="348">
                  <c:v>-9.9555436687603986</c:v>
                </c:pt>
                <c:pt idx="349">
                  <c:v>-10.730728339199795</c:v>
                </c:pt>
                <c:pt idx="350">
                  <c:v>-11.504577440538245</c:v>
                </c:pt>
                <c:pt idx="351">
                  <c:v>-12.277088817750398</c:v>
                </c:pt>
                <c:pt idx="352">
                  <c:v>-13.048260487571232</c:v>
                </c:pt>
                <c:pt idx="353">
                  <c:v>-13.818090637151949</c:v>
                </c:pt>
                <c:pt idx="354">
                  <c:v>-14.586577622712802</c:v>
                </c:pt>
                <c:pt idx="355">
                  <c:v>-15.353719968192824</c:v>
                </c:pt>
                <c:pt idx="356">
                  <c:v>-16.11951636389718</c:v>
                </c:pt>
                <c:pt idx="357">
                  <c:v>-16.883965665142341</c:v>
                </c:pt>
                <c:pt idx="358">
                  <c:v>-17.647066890899371</c:v>
                </c:pt>
                <c:pt idx="359">
                  <c:v>-18.408819222435842</c:v>
                </c:pt>
                <c:pt idx="360">
                  <c:v>-18.76183757340667</c:v>
                </c:pt>
                <c:pt idx="361">
                  <c:v>-18.706895710156505</c:v>
                </c:pt>
                <c:pt idx="362">
                  <c:v>-18.652148949922864</c:v>
                </c:pt>
                <c:pt idx="363">
                  <c:v>-18.597596375416803</c:v>
                </c:pt>
                <c:pt idx="364">
                  <c:v>-18.543237074797709</c:v>
                </c:pt>
                <c:pt idx="365">
                  <c:v>-18.489070141634393</c:v>
                </c:pt>
                <c:pt idx="366">
                  <c:v>-18.435094674866402</c:v>
                </c:pt>
                <c:pt idx="367">
                  <c:v>-18.38130977876579</c:v>
                </c:pt>
                <c:pt idx="368">
                  <c:v>-18.327714562899111</c:v>
                </c:pt>
                <c:pt idx="369">
                  <c:v>-18.27430814208979</c:v>
                </c:pt>
                <c:pt idx="370">
                  <c:v>-18.221089636380746</c:v>
                </c:pt>
                <c:pt idx="371">
                  <c:v>-18.168058170997366</c:v>
                </c:pt>
                <c:pt idx="372">
                  <c:v>-18.11521287631081</c:v>
                </c:pt>
                <c:pt idx="373">
                  <c:v>-18.062552887801548</c:v>
                </c:pt>
                <c:pt idx="374">
                  <c:v>-18.010077346023273</c:v>
                </c:pt>
                <c:pt idx="375">
                  <c:v>-17.957785396567058</c:v>
                </c:pt>
                <c:pt idx="376">
                  <c:v>-17.905676190025805</c:v>
                </c:pt>
                <c:pt idx="377">
                  <c:v>-17.853748881959095</c:v>
                </c:pt>
                <c:pt idx="378">
                  <c:v>-17.802002632858166</c:v>
                </c:pt>
                <c:pt idx="379">
                  <c:v>-17.750436608111279</c:v>
                </c:pt>
                <c:pt idx="380">
                  <c:v>-17.699049977969359</c:v>
                </c:pt>
                <c:pt idx="381">
                  <c:v>-17.647841917511911</c:v>
                </c:pt>
                <c:pt idx="382">
                  <c:v>-17.596811606613191</c:v>
                </c:pt>
                <c:pt idx="383">
                  <c:v>-17.545958229908685</c:v>
                </c:pt>
                <c:pt idx="384">
                  <c:v>-17.495280976761848</c:v>
                </c:pt>
                <c:pt idx="385">
                  <c:v>-17.444779041231129</c:v>
                </c:pt>
                <c:pt idx="386">
                  <c:v>-17.394451622037241</c:v>
                </c:pt>
                <c:pt idx="387">
                  <c:v>-17.3442979225307</c:v>
                </c:pt>
                <c:pt idx="388">
                  <c:v>-17.294317150659698</c:v>
                </c:pt>
                <c:pt idx="389">
                  <c:v>-17.24450851893809</c:v>
                </c:pt>
                <c:pt idx="390">
                  <c:v>-17.194871244413797</c:v>
                </c:pt>
                <c:pt idx="391">
                  <c:v>-17.145404548637377</c:v>
                </c:pt>
                <c:pt idx="392">
                  <c:v>-17.096107657630832</c:v>
                </c:pt>
                <c:pt idx="393">
                  <c:v>-17.0469798018568</c:v>
                </c:pt>
                <c:pt idx="394">
                  <c:v>-16.998020216187797</c:v>
                </c:pt>
                <c:pt idx="395">
                  <c:v>-16.949228139875906</c:v>
                </c:pt>
                <c:pt idx="396">
                  <c:v>-16.900602816522539</c:v>
                </c:pt>
                <c:pt idx="397">
                  <c:v>-16.852143494048565</c:v>
                </c:pt>
                <c:pt idx="398">
                  <c:v>-16.803849424664644</c:v>
                </c:pt>
                <c:pt idx="399">
                  <c:v>-16.755719864841723</c:v>
                </c:pt>
                <c:pt idx="400">
                  <c:v>-16.707754075281944</c:v>
                </c:pt>
                <c:pt idx="401">
                  <c:v>-16.659951320889576</c:v>
                </c:pt>
                <c:pt idx="402">
                  <c:v>-16.187214472942827</c:v>
                </c:pt>
                <c:pt idx="403">
                  <c:v>-15.730284521004794</c:v>
                </c:pt>
                <c:pt idx="404">
                  <c:v>-15.288470521448506</c:v>
                </c:pt>
                <c:pt idx="405">
                  <c:v>-14.861119423670134</c:v>
                </c:pt>
                <c:pt idx="406">
                  <c:v>-14.447613591951665</c:v>
                </c:pt>
                <c:pt idx="407">
                  <c:v>-14.047368515229692</c:v>
                </c:pt>
                <c:pt idx="408">
                  <c:v>-13.659830688609546</c:v>
                </c:pt>
                <c:pt idx="409">
                  <c:v>-13.284475652014809</c:v>
                </c:pt>
                <c:pt idx="410">
                  <c:v>-12.92080617274968</c:v>
                </c:pt>
                <c:pt idx="411">
                  <c:v>-12.568350559993529</c:v>
                </c:pt>
                <c:pt idx="412">
                  <c:v>-12.226661100360262</c:v>
                </c:pt>
                <c:pt idx="413">
                  <c:v>-11.895312604654745</c:v>
                </c:pt>
                <c:pt idx="414">
                  <c:v>-11.573901056856421</c:v>
                </c:pt>
                <c:pt idx="415">
                  <c:v>-11.262042357168461</c:v>
                </c:pt>
                <c:pt idx="416">
                  <c:v>-10.959371151698209</c:v>
                </c:pt>
                <c:pt idx="417">
                  <c:v>-10.665539741991347</c:v>
                </c:pt>
                <c:pt idx="418">
                  <c:v>-10.380217068234018</c:v>
                </c:pt>
                <c:pt idx="419">
                  <c:v>-10.10308776047297</c:v>
                </c:pt>
                <c:pt idx="420">
                  <c:v>-9.8338512526873689</c:v>
                </c:pt>
                <c:pt idx="421">
                  <c:v>-9.5722209549849193</c:v>
                </c:pt>
                <c:pt idx="422">
                  <c:v>-9.3179234795917854</c:v>
                </c:pt>
                <c:pt idx="423">
                  <c:v>-9.0706979166667843</c:v>
                </c:pt>
                <c:pt idx="424">
                  <c:v>-8.8302951562973924</c:v>
                </c:pt>
                <c:pt idx="425">
                  <c:v>-8.596477253332985</c:v>
                </c:pt>
                <c:pt idx="426">
                  <c:v>-8.3690168319813445</c:v>
                </c:pt>
                <c:pt idx="427">
                  <c:v>-8.1476965273411555</c:v>
                </c:pt>
                <c:pt idx="428">
                  <c:v>-7.9323084612679784</c:v>
                </c:pt>
                <c:pt idx="429">
                  <c:v>-7.7226537501761872</c:v>
                </c:pt>
                <c:pt idx="430">
                  <c:v>-7.5185420425666711</c:v>
                </c:pt>
                <c:pt idx="431">
                  <c:v>-7.3197910842410145</c:v>
                </c:pt>
                <c:pt idx="432">
                  <c:v>-7.1262263093195335</c:v>
                </c:pt>
                <c:pt idx="433">
                  <c:v>-6.9376804553236484</c:v>
                </c:pt>
                <c:pt idx="434">
                  <c:v>-6.7539932007141799</c:v>
                </c:pt>
                <c:pt idx="435">
                  <c:v>-6.5750108233976947</c:v>
                </c:pt>
                <c:pt idx="436">
                  <c:v>-6.4005858788229446</c:v>
                </c:pt>
                <c:pt idx="437">
                  <c:v>-6.2305768963912058</c:v>
                </c:pt>
                <c:pt idx="438">
                  <c:v>-6.0648480929970283</c:v>
                </c:pt>
                <c:pt idx="439">
                  <c:v>-5.9032691026016835</c:v>
                </c:pt>
                <c:pt idx="440">
                  <c:v>-5.7457147208202972</c:v>
                </c:pt>
                <c:pt idx="441">
                  <c:v>-5.5920646635761466</c:v>
                </c:pt>
                <c:pt idx="442">
                  <c:v>-5.4422033389424547</c:v>
                </c:pt>
                <c:pt idx="443">
                  <c:v>-5.2960196313535794</c:v>
                </c:pt>
                <c:pt idx="444">
                  <c:v>-5.1534066974243036</c:v>
                </c:pt>
                <c:pt idx="445">
                  <c:v>-5.0142617726685224</c:v>
                </c:pt>
                <c:pt idx="446">
                  <c:v>-4.8784859884569656</c:v>
                </c:pt>
                <c:pt idx="447">
                  <c:v>-4.7459841985985136</c:v>
                </c:pt>
                <c:pt idx="448">
                  <c:v>-4.6166648149710765</c:v>
                </c:pt>
                <c:pt idx="449">
                  <c:v>-4.4904396516663665</c:v>
                </c:pt>
                <c:pt idx="450">
                  <c:v>-4.3672237771484896</c:v>
                </c:pt>
                <c:pt idx="451">
                  <c:v>-4.2469353739591753</c:v>
                </c:pt>
                <c:pt idx="452">
                  <c:v>-4.129495605532969</c:v>
                </c:pt>
                <c:pt idx="453">
                  <c:v>-4.0148284897141497</c:v>
                </c:pt>
                <c:pt idx="454">
                  <c:v>-3.902860778593324</c:v>
                </c:pt>
                <c:pt idx="455">
                  <c:v>-3.7935218443061607</c:v>
                </c:pt>
                <c:pt idx="456">
                  <c:v>-3.6867435704593783</c:v>
                </c:pt>
                <c:pt idx="457">
                  <c:v>-3.5824602488702642</c:v>
                </c:pt>
                <c:pt idx="458">
                  <c:v>-3.4806084813256084</c:v>
                </c:pt>
                <c:pt idx="459">
                  <c:v>-3.3811270860842066</c:v>
                </c:pt>
                <c:pt idx="460">
                  <c:v>-3.2839570088641934</c:v>
                </c:pt>
                <c:pt idx="461">
                  <c:v>-3.1890412380722353</c:v>
                </c:pt>
                <c:pt idx="462">
                  <c:v>-3.0963247240464584</c:v>
                </c:pt>
                <c:pt idx="463">
                  <c:v>-3.0057543020988255</c:v>
                </c:pt>
                <c:pt idx="464">
                  <c:v>-2.9172786191554456</c:v>
                </c:pt>
                <c:pt idx="465">
                  <c:v>-2.8308480638054152</c:v>
                </c:pt>
                <c:pt idx="466">
                  <c:v>-2.7464146995800189</c:v>
                </c:pt>
                <c:pt idx="467">
                  <c:v>-2.6639322012945468</c:v>
                </c:pt>
                <c:pt idx="468">
                  <c:v>-2.5833557942948464</c:v>
                </c:pt>
                <c:pt idx="469">
                  <c:v>-2.5046421964599426</c:v>
                </c:pt>
                <c:pt idx="470">
                  <c:v>-2.4277495628205585</c:v>
                </c:pt>
                <c:pt idx="471">
                  <c:v>-2.3526374326615063</c:v>
                </c:pt>
                <c:pt idx="472">
                  <c:v>-2.2792666789833818</c:v>
                </c:pt>
                <c:pt idx="473">
                  <c:v>-2.2075994602061226</c:v>
                </c:pt>
                <c:pt idx="474">
                  <c:v>-2.1375991740035487</c:v>
                </c:pt>
                <c:pt idx="475">
                  <c:v>-2.0692304131642416</c:v>
                </c:pt>
                <c:pt idx="476">
                  <c:v>-2.0024589233799621</c:v>
                </c:pt>
                <c:pt idx="477">
                  <c:v>-1.9372515628682372</c:v>
                </c:pt>
                <c:pt idx="478">
                  <c:v>-1.8735762637408939</c:v>
                </c:pt>
                <c:pt idx="479">
                  <c:v>-1.8114019950351694</c:v>
                </c:pt>
                <c:pt idx="480">
                  <c:v>-1.7506987273285159</c:v>
                </c:pt>
                <c:pt idx="481">
                  <c:v>-1.6914373988625113</c:v>
                </c:pt>
                <c:pt idx="482">
                  <c:v>-1.6335898831052886</c:v>
                </c:pt>
                <c:pt idx="483">
                  <c:v>-1.5771289576856475</c:v>
                </c:pt>
                <c:pt idx="484">
                  <c:v>-1.522028274635606</c:v>
                </c:pt>
                <c:pt idx="485">
                  <c:v>-1.4682623318814354</c:v>
                </c:pt>
                <c:pt idx="486">
                  <c:v>-1.4158064459264086</c:v>
                </c:pt>
                <c:pt idx="487">
                  <c:v>-1.3646367256714369</c:v>
                </c:pt>
                <c:pt idx="488">
                  <c:v>-1.3147300473225736</c:v>
                </c:pt>
                <c:pt idx="489">
                  <c:v>-1.2660640303369781</c:v>
                </c:pt>
                <c:pt idx="490">
                  <c:v>-1.2186170143614303</c:v>
                </c:pt>
                <c:pt idx="491">
                  <c:v>-1.1723680371198182</c:v>
                </c:pt>
                <c:pt idx="492">
                  <c:v>-1.1272968132082255</c:v>
                </c:pt>
                <c:pt idx="493">
                  <c:v>-1.0833837137583209</c:v>
                </c:pt>
                <c:pt idx="494">
                  <c:v>-1.0406097469317184</c:v>
                </c:pt>
                <c:pt idx="495">
                  <c:v>-0.99895653920981875</c:v>
                </c:pt>
                <c:pt idx="496">
                  <c:v>-0.95840631744538807</c:v>
                </c:pt>
                <c:pt idx="497">
                  <c:v>-0.91894189164375861</c:v>
                </c:pt>
                <c:pt idx="498">
                  <c:v>-0.88054663844309333</c:v>
                </c:pt>
                <c:pt idx="499">
                  <c:v>-0.84320448526459613</c:v>
                </c:pt>
                <c:pt idx="500">
                  <c:v>-0.80689989510491456</c:v>
                </c:pt>
                <c:pt idx="501">
                  <c:v>-0.77161785194425736</c:v>
                </c:pt>
                <c:pt idx="502">
                  <c:v>-0.7373438467449468</c:v>
                </c:pt>
                <c:pt idx="503">
                  <c:v>-0.70406386401623111</c:v>
                </c:pt>
                <c:pt idx="504">
                  <c:v>-0.67176436892222258</c:v>
                </c:pt>
                <c:pt idx="505">
                  <c:v>-0.64043229491076981</c:v>
                </c:pt>
                <c:pt idx="506">
                  <c:v>-0.61005503184195475</c:v>
                </c:pt>
                <c:pt idx="507">
                  <c:v>-0.58062041459568992</c:v>
                </c:pt>
                <c:pt idx="508">
                  <c:v>-0.55211671213859448</c:v>
                </c:pt>
                <c:pt idx="509">
                  <c:v>-0.52453261703095055</c:v>
                </c:pt>
                <c:pt idx="510">
                  <c:v>-0.49785723535505294</c:v>
                </c:pt>
                <c:pt idx="511">
                  <c:v>-0.47208007704669397</c:v>
                </c:pt>
                <c:pt idx="512">
                  <c:v>-0.44719104661181591</c:v>
                </c:pt>
                <c:pt idx="513">
                  <c:v>-0.42318043421055196</c:v>
                </c:pt>
                <c:pt idx="514">
                  <c:v>-0.40003890709089635</c:v>
                </c:pt>
                <c:pt idx="515">
                  <c:v>-0.37775750135412356</c:v>
                </c:pt>
                <c:pt idx="516">
                  <c:v>-0.35632761403373264</c:v>
                </c:pt>
                <c:pt idx="517">
                  <c:v>-0.33574099546915354</c:v>
                </c:pt>
                <c:pt idx="518">
                  <c:v>-0.31598974195461832</c:v>
                </c:pt>
                <c:pt idx="519">
                  <c:v>-0.29706628864246526</c:v>
                </c:pt>
                <c:pt idx="520">
                  <c:v>-0.27896340267861758</c:v>
                </c:pt>
                <c:pt idx="521">
                  <c:v>-0.26167417654599834</c:v>
                </c:pt>
                <c:pt idx="522">
                  <c:v>-0.24519202158910761</c:v>
                </c:pt>
                <c:pt idx="523">
                  <c:v>-0.22951066168980494</c:v>
                </c:pt>
                <c:pt idx="524">
                  <c:v>-0.21462412706034947</c:v>
                </c:pt>
                <c:pt idx="525">
                  <c:v>-0.20052674811484084</c:v>
                </c:pt>
                <c:pt idx="526">
                  <c:v>-0.18721314937417238</c:v>
                </c:pt>
                <c:pt idx="527">
                  <c:v>-0.17467824335230048</c:v>
                </c:pt>
                <c:pt idx="528">
                  <c:v>-0.16291722436285722</c:v>
                </c:pt>
                <c:pt idx="529">
                  <c:v>-0.15192556217473407</c:v>
                </c:pt>
                <c:pt idx="530">
                  <c:v>-0.14169899543314826</c:v>
                </c:pt>
                <c:pt idx="531">
                  <c:v>-0.13223352474889191</c:v>
                </c:pt>
                <c:pt idx="532">
                  <c:v>-0.12352540534319899</c:v>
                </c:pt>
                <c:pt idx="533">
                  <c:v>-0.11557113911950749</c:v>
                </c:pt>
                <c:pt idx="534">
                  <c:v>-0.10836746601741455</c:v>
                </c:pt>
                <c:pt idx="535">
                  <c:v>-0.10191135449004081</c:v>
                </c:pt>
                <c:pt idx="536">
                  <c:v>-9.6199990936429364E-2</c:v>
                </c:pt>
                <c:pt idx="537">
                  <c:v>-9.1230767918983491E-2</c:v>
                </c:pt>
                <c:pt idx="538">
                  <c:v>-8.7001271006636599E-2</c:v>
                </c:pt>
                <c:pt idx="539">
                  <c:v>-8.3509264112121714E-2</c:v>
                </c:pt>
                <c:pt idx="540">
                  <c:v>-8.0752673240524694E-2</c:v>
                </c:pt>
                <c:pt idx="541">
                  <c:v>-7.8729568638450362E-2</c:v>
                </c:pt>
                <c:pt idx="542">
                  <c:v>-7.7438145427149621E-2</c:v>
                </c:pt>
                <c:pt idx="543">
                  <c:v>-7.6876702912294606E-2</c:v>
                </c:pt>
                <c:pt idx="544">
                  <c:v>-7.7043622875710704E-2</c:v>
                </c:pt>
                <c:pt idx="545">
                  <c:v>-7.7937347254141226E-2</c:v>
                </c:pt>
                <c:pt idx="546">
                  <c:v>-7.9556355680161825E-2</c:v>
                </c:pt>
                <c:pt idx="547">
                  <c:v>-8.1899143387552858E-2</c:v>
                </c:pt>
                <c:pt idx="548">
                  <c:v>-8.4964199962426892E-2</c:v>
                </c:pt>
                <c:pt idx="549">
                  <c:v>-8.8749989356315492E-2</c:v>
                </c:pt>
                <c:pt idx="550">
                  <c:v>-9.3254931480542452E-2</c:v>
                </c:pt>
                <c:pt idx="551">
                  <c:v>-9.8477385589217217E-2</c:v>
                </c:pt>
                <c:pt idx="552">
                  <c:v>-0.10441563554758373</c:v>
                </c:pt>
                <c:pt idx="553">
                  <c:v>-0.11106787698600004</c:v>
                </c:pt>
                <c:pt idx="554">
                  <c:v>-0.11843220626480991</c:v>
                </c:pt>
                <c:pt idx="555">
                  <c:v>-0.12650661112386596</c:v>
                </c:pt>
                <c:pt idx="556">
                  <c:v>-0.13528896286063236</c:v>
                </c:pt>
                <c:pt idx="557">
                  <c:v>-0.14477700986863565</c:v>
                </c:pt>
                <c:pt idx="558">
                  <c:v>-0.15496837236880573</c:v>
                </c:pt>
                <c:pt idx="559">
                  <c:v>-0.16586053817554844</c:v>
                </c:pt>
                <c:pt idx="560">
                  <c:v>-0.17745085935355065</c:v>
                </c:pt>
                <c:pt idx="561">
                  <c:v>-0.18973654963765127</c:v>
                </c:pt>
                <c:pt idx="562">
                  <c:v>-0.20271468250476679</c:v>
                </c:pt>
                <c:pt idx="563">
                  <c:v>-0.21638218980271257</c:v>
                </c:pt>
                <c:pt idx="564">
                  <c:v>-0.230735860855177</c:v>
                </c:pt>
                <c:pt idx="565">
                  <c:v>-0.24577234197483555</c:v>
                </c:pt>
                <c:pt idx="566">
                  <c:v>-0.26148813632758516</c:v>
                </c:pt>
                <c:pt idx="567">
                  <c:v>-0.2778796041002275</c:v>
                </c:pt>
                <c:pt idx="568">
                  <c:v>-0.29494296293179634</c:v>
                </c:pt>
                <c:pt idx="569">
                  <c:v>-0.31267428857528101</c:v>
                </c:pt>
                <c:pt idx="570">
                  <c:v>-0.33106951576194471</c:v>
                </c:pt>
                <c:pt idx="571">
                  <c:v>-0.35012443924493064</c:v>
                </c:pt>
                <c:pt idx="572">
                  <c:v>-0.36983471500255305</c:v>
                </c:pt>
                <c:pt idx="573">
                  <c:v>-0.39019586158472958</c:v>
                </c:pt>
                <c:pt idx="574">
                  <c:v>-0.41120326158850945</c:v>
                </c:pt>
                <c:pt idx="575">
                  <c:v>-0.4328521632507219</c:v>
                </c:pt>
                <c:pt idx="576">
                  <c:v>-0.45513768214746886</c:v>
                </c:pt>
                <c:pt idx="577">
                  <c:v>-0.47805480299157943</c:v>
                </c:pt>
                <c:pt idx="578">
                  <c:v>-0.50159838152029834</c:v>
                </c:pt>
                <c:pt idx="579">
                  <c:v>-0.52576314646643985</c:v>
                </c:pt>
                <c:pt idx="580">
                  <c:v>-0.55054370160701238</c:v>
                </c:pt>
                <c:pt idx="581">
                  <c:v>-0.57593452788398658</c:v>
                </c:pt>
                <c:pt idx="582">
                  <c:v>-0.6019299855924104</c:v>
                </c:pt>
                <c:pt idx="583">
                  <c:v>-0.6285243166315333</c:v>
                </c:pt>
                <c:pt idx="584">
                  <c:v>-0.65571164681496552</c:v>
                </c:pt>
                <c:pt idx="585">
                  <c:v>-0.68348598823622786</c:v>
                </c:pt>
                <c:pt idx="586">
                  <c:v>-0.71184124168629481</c:v>
                </c:pt>
                <c:pt idx="587">
                  <c:v>-0.74077119911996403</c:v>
                </c:pt>
                <c:pt idx="588">
                  <c:v>-0.77026954616806231</c:v>
                </c:pt>
                <c:pt idx="589">
                  <c:v>-0.80032986469266609</c:v>
                </c:pt>
                <c:pt idx="590">
                  <c:v>-0.83094563538263044</c:v>
                </c:pt>
                <c:pt idx="591">
                  <c:v>-0.86211024038685258</c:v>
                </c:pt>
                <c:pt idx="592">
                  <c:v>-0.89381696598277149</c:v>
                </c:pt>
                <c:pt idx="593">
                  <c:v>-0.92605900527770724</c:v>
                </c:pt>
                <c:pt idx="594">
                  <c:v>-0.95882946094069599</c:v>
                </c:pt>
                <c:pt idx="595">
                  <c:v>-0.99212134796256024</c:v>
                </c:pt>
                <c:pt idx="596">
                  <c:v>-1.0259275964419836</c:v>
                </c:pt>
                <c:pt idx="597">
                  <c:v>-1.060241054395427</c:v>
                </c:pt>
                <c:pt idx="598">
                  <c:v>-1.095054490588754</c:v>
                </c:pt>
                <c:pt idx="599">
                  <c:v>-1.1303605973884827</c:v>
                </c:pt>
                <c:pt idx="600">
                  <c:v>-1.1661519936306035</c:v>
                </c:pt>
                <c:pt idx="601">
                  <c:v>-1.2024212275049402</c:v>
                </c:pt>
                <c:pt idx="602">
                  <c:v>-1.2391607794530703</c:v>
                </c:pt>
                <c:pt idx="603">
                  <c:v>-1.2763630650778368</c:v>
                </c:pt>
                <c:pt idx="604">
                  <c:v>-1.3140204380625169</c:v>
                </c:pt>
                <c:pt idx="605">
                  <c:v>-1.3521251930977354</c:v>
                </c:pt>
                <c:pt idx="606">
                  <c:v>-1.3906695688142516</c:v>
                </c:pt>
                <c:pt idx="607">
                  <c:v>-1.4296457507197446</c:v>
                </c:pt>
                <c:pt idx="608">
                  <c:v>-1.4690458741377892</c:v>
                </c:pt>
                <c:pt idx="609">
                  <c:v>-1.5088620271471891</c:v>
                </c:pt>
                <c:pt idx="610">
                  <c:v>-1.5490862535199104</c:v>
                </c:pt>
                <c:pt idx="611">
                  <c:v>-1.5897105556558464</c:v>
                </c:pt>
                <c:pt idx="612">
                  <c:v>-1.6307268975126945</c:v>
                </c:pt>
                <c:pt idx="613">
                  <c:v>-1.6721272075292366</c:v>
                </c:pt>
                <c:pt idx="614">
                  <c:v>-1.7139033815403539</c:v>
                </c:pt>
                <c:pt idx="615">
                  <c:v>-1.7560472856821276</c:v>
                </c:pt>
                <c:pt idx="616">
                  <c:v>-1.7985507592854075</c:v>
                </c:pt>
                <c:pt idx="617">
                  <c:v>-1.8414056177562668</c:v>
                </c:pt>
                <c:pt idx="618">
                  <c:v>-1.8846036554417713</c:v>
                </c:pt>
                <c:pt idx="619">
                  <c:v>-1.9281366484795386</c:v>
                </c:pt>
                <c:pt idx="620">
                  <c:v>-1.9719963576296047</c:v>
                </c:pt>
                <c:pt idx="621">
                  <c:v>-2.0161745310871049</c:v>
                </c:pt>
                <c:pt idx="622">
                  <c:v>-2.0606629072743665</c:v>
                </c:pt>
                <c:pt idx="623">
                  <c:v>-2.1054532176109757</c:v>
                </c:pt>
                <c:pt idx="624">
                  <c:v>-2.150537189260497</c:v>
                </c:pt>
                <c:pt idx="625">
                  <c:v>-2.1959065478524646</c:v>
                </c:pt>
                <c:pt idx="626">
                  <c:v>-2.2415530201783871</c:v>
                </c:pt>
                <c:pt idx="627">
                  <c:v>-2.2874683368604738</c:v>
                </c:pt>
                <c:pt idx="628">
                  <c:v>-2.3336442349918785</c:v>
                </c:pt>
                <c:pt idx="629">
                  <c:v>-2.3800724607472485</c:v>
                </c:pt>
                <c:pt idx="630">
                  <c:v>-2.4267447719624453</c:v>
                </c:pt>
                <c:pt idx="631">
                  <c:v>-2.4736529406823009</c:v>
                </c:pt>
                <c:pt idx="632">
                  <c:v>-2.5207887556753428</c:v>
                </c:pt>
                <c:pt idx="633">
                  <c:v>-2.5681440249144396</c:v>
                </c:pt>
                <c:pt idx="634">
                  <c:v>-2.6157105780223655</c:v>
                </c:pt>
                <c:pt idx="635">
                  <c:v>-2.6634802686813295</c:v>
                </c:pt>
                <c:pt idx="636">
                  <c:v>-2.7114449770055118</c:v>
                </c:pt>
                <c:pt idx="637">
                  <c:v>-2.7595966118757542</c:v>
                </c:pt>
                <c:pt idx="638">
                  <c:v>-2.8079271132355448</c:v>
                </c:pt>
                <c:pt idx="639">
                  <c:v>-2.8564284543474634</c:v>
                </c:pt>
                <c:pt idx="640">
                  <c:v>-2.9050926440093705</c:v>
                </c:pt>
                <c:pt idx="641">
                  <c:v>-2.9539117287295462</c:v>
                </c:pt>
                <c:pt idx="642">
                  <c:v>-3.0028777948601348</c:v>
                </c:pt>
                <c:pt idx="643">
                  <c:v>-3.0519829706882198</c:v>
                </c:pt>
                <c:pt idx="644">
                  <c:v>-3.1012194284839261</c:v>
                </c:pt>
                <c:pt idx="645">
                  <c:v>-3.1505793865049627</c:v>
                </c:pt>
                <c:pt idx="646">
                  <c:v>-3.2000551109570901</c:v>
                </c:pt>
                <c:pt idx="647">
                  <c:v>-3.2496389179099952</c:v>
                </c:pt>
                <c:pt idx="648">
                  <c:v>-3.2993231751681318</c:v>
                </c:pt>
                <c:pt idx="649">
                  <c:v>-3.3491003040960954</c:v>
                </c:pt>
                <c:pt idx="650">
                  <c:v>-3.3989627813981582</c:v>
                </c:pt>
                <c:pt idx="651">
                  <c:v>-3.4489031408516233</c:v>
                </c:pt>
                <c:pt idx="652">
                  <c:v>-3.4989139749936822</c:v>
                </c:pt>
                <c:pt idx="653">
                  <c:v>-3.5489879367615025</c:v>
                </c:pt>
                <c:pt idx="654">
                  <c:v>-3.5991177410853434</c:v>
                </c:pt>
                <c:pt idx="655">
                  <c:v>-3.6492961664344543</c:v>
                </c:pt>
                <c:pt idx="656">
                  <c:v>-3.6995160563156415</c:v>
                </c:pt>
                <c:pt idx="657">
                  <c:v>-3.7497703207243478</c:v>
                </c:pt>
                <c:pt idx="658">
                  <c:v>-3.8000519375481714</c:v>
                </c:pt>
                <c:pt idx="659">
                  <c:v>-3.850353953922748</c:v>
                </c:pt>
                <c:pt idx="660">
                  <c:v>-3.9006694875399917</c:v>
                </c:pt>
                <c:pt idx="661">
                  <c:v>-3.9509917279087103</c:v>
                </c:pt>
                <c:pt idx="662">
                  <c:v>-4.0013139375675975</c:v>
                </c:pt>
                <c:pt idx="663">
                  <c:v>-4.051629453250726</c:v>
                </c:pt>
                <c:pt idx="664">
                  <c:v>-4.1019316870056217</c:v>
                </c:pt>
                <c:pt idx="665">
                  <c:v>-4.1522141272640543</c:v>
                </c:pt>
                <c:pt idx="666">
                  <c:v>-4.2024703398657079</c:v>
                </c:pt>
                <c:pt idx="667">
                  <c:v>-4.2526939690349375</c:v>
                </c:pt>
                <c:pt idx="668">
                  <c:v>-4.3028787383108433</c:v>
                </c:pt>
                <c:pt idx="669">
                  <c:v>-4.3530184514308727</c:v>
                </c:pt>
                <c:pt idx="670">
                  <c:v>-4.403106993168282</c:v>
                </c:pt>
                <c:pt idx="671">
                  <c:v>-4.4531383301237133</c:v>
                </c:pt>
                <c:pt idx="672">
                  <c:v>-4.5031065114712572</c:v>
                </c:pt>
                <c:pt idx="673">
                  <c:v>-4.5530056696593224</c:v>
                </c:pt>
                <c:pt idx="674">
                  <c:v>-4.6028300210667181</c:v>
                </c:pt>
                <c:pt idx="675">
                  <c:v>-4.6525738666143193</c:v>
                </c:pt>
                <c:pt idx="676">
                  <c:v>-4.7022315923327742</c:v>
                </c:pt>
                <c:pt idx="677">
                  <c:v>-4.751797669886674</c:v>
                </c:pt>
                <c:pt idx="678">
                  <c:v>-4.8012666570556597</c:v>
                </c:pt>
                <c:pt idx="679">
                  <c:v>-4.8506331981729476</c:v>
                </c:pt>
                <c:pt idx="680">
                  <c:v>-4.899892024521785</c:v>
                </c:pt>
                <c:pt idx="681">
                  <c:v>-4.9490379546903558</c:v>
                </c:pt>
                <c:pt idx="682">
                  <c:v>-4.9980658948856753</c:v>
                </c:pt>
                <c:pt idx="683">
                  <c:v>-5.0469708392070345</c:v>
                </c:pt>
                <c:pt idx="684">
                  <c:v>-5.0957478698795695</c:v>
                </c:pt>
                <c:pt idx="685">
                  <c:v>-5.1443921574485358</c:v>
                </c:pt>
                <c:pt idx="686">
                  <c:v>-5.1928989609349037</c:v>
                </c:pt>
                <c:pt idx="687">
                  <c:v>-5.2412636279528755</c:v>
                </c:pt>
                <c:pt idx="688">
                  <c:v>-5.2894815947899714</c:v>
                </c:pt>
                <c:pt idx="689">
                  <c:v>-5.3375483864503108</c:v>
                </c:pt>
                <c:pt idx="690">
                  <c:v>-5.3854596166617474</c:v>
                </c:pt>
                <c:pt idx="691">
                  <c:v>-5.4332109878475139</c:v>
                </c:pt>
                <c:pt idx="692">
                  <c:v>-5.4807982910630892</c:v>
                </c:pt>
                <c:pt idx="693">
                  <c:v>-5.5282174058988636</c:v>
                </c:pt>
                <c:pt idx="694">
                  <c:v>-5.5754643003494531</c:v>
                </c:pt>
                <c:pt idx="695">
                  <c:v>-5.6225350306502078</c:v>
                </c:pt>
                <c:pt idx="696">
                  <c:v>-5.6694257410816862</c:v>
                </c:pt>
                <c:pt idx="697">
                  <c:v>-5.7161326637428385</c:v>
                </c:pt>
                <c:pt idx="698">
                  <c:v>-5.7626521182935369</c:v>
                </c:pt>
                <c:pt idx="699">
                  <c:v>-5.8089805116672117</c:v>
                </c:pt>
                <c:pt idx="700">
                  <c:v>-5.8551143377543413</c:v>
                </c:pt>
                <c:pt idx="701">
                  <c:v>-5.901050177057483</c:v>
                </c:pt>
                <c:pt idx="702">
                  <c:v>-5.9467846963185922</c:v>
                </c:pt>
                <c:pt idx="703">
                  <c:v>-5.9923146481193381</c:v>
                </c:pt>
                <c:pt idx="704">
                  <c:v>-6.0376368704552101</c:v>
                </c:pt>
                <c:pt idx="705">
                  <c:v>-6.0827482862840654</c:v>
                </c:pt>
                <c:pt idx="706">
                  <c:v>-6.1276459030499266</c:v>
                </c:pt>
                <c:pt idx="707">
                  <c:v>-6.1723268121827113</c:v>
                </c:pt>
                <c:pt idx="708">
                  <c:v>-6.216788188574645</c:v>
                </c:pt>
                <c:pt idx="709">
                  <c:v>-6.2610272900341055</c:v>
                </c:pt>
                <c:pt idx="710">
                  <c:v>-6.3050414567176052</c:v>
                </c:pt>
                <c:pt idx="711">
                  <c:v>-6.3488281105406141</c:v>
                </c:pt>
                <c:pt idx="712">
                  <c:v>-6.3923847545680408</c:v>
                </c:pt>
                <c:pt idx="713">
                  <c:v>-6.4357089723849565</c:v>
                </c:pt>
                <c:pt idx="714">
                  <c:v>-6.4787984274484094</c:v>
                </c:pt>
                <c:pt idx="715">
                  <c:v>-6.5216508624209384</c:v>
                </c:pt>
                <c:pt idx="716">
                  <c:v>-6.5642640984865634</c:v>
                </c:pt>
                <c:pt idx="717">
                  <c:v>-6.6066360346499211</c:v>
                </c:pt>
                <c:pt idx="718">
                  <c:v>-6.6487646470192301</c:v>
                </c:pt>
                <c:pt idx="719">
                  <c:v>-6.6906479880738132</c:v>
                </c:pt>
                <c:pt idx="720">
                  <c:v>-6.7322841859168445</c:v>
                </c:pt>
                <c:pt idx="721">
                  <c:v>-6.7736714435139591</c:v>
                </c:pt>
                <c:pt idx="722">
                  <c:v>-6.8148080379184703</c:v>
                </c:pt>
                <c:pt idx="723">
                  <c:v>-6.8556923194837953</c:v>
                </c:pt>
                <c:pt idx="724">
                  <c:v>-6.8963227110637497</c:v>
                </c:pt>
                <c:pt idx="725">
                  <c:v>-6.9366977072014047</c:v>
                </c:pt>
                <c:pt idx="726">
                  <c:v>-6.9768158733070829</c:v>
                </c:pt>
                <c:pt idx="727">
                  <c:v>-7.0166758448261568</c:v>
                </c:pt>
                <c:pt idx="728">
                  <c:v>-7.056276326397283</c:v>
                </c:pt>
                <c:pt idx="729">
                  <c:v>-7.0956160910016282</c:v>
                </c:pt>
                <c:pt idx="730">
                  <c:v>-7.1346939791037638</c:v>
                </c:pt>
                <c:pt idx="731">
                  <c:v>-7.1735088977847425</c:v>
                </c:pt>
                <c:pt idx="732">
                  <c:v>-7.2120598198680366</c:v>
                </c:pt>
                <c:pt idx="733">
                  <c:v>-7.2503457830387958</c:v>
                </c:pt>
                <c:pt idx="734">
                  <c:v>-7.2883658889570881</c:v>
                </c:pt>
                <c:pt idx="735">
                  <c:v>-7.3261193023656075</c:v>
                </c:pt>
                <c:pt idx="736">
                  <c:v>-7.3636052501924452</c:v>
                </c:pt>
                <c:pt idx="737">
                  <c:v>-7.4008230206494314</c:v>
                </c:pt>
                <c:pt idx="738">
                  <c:v>-7.4377719623265328</c:v>
                </c:pt>
                <c:pt idx="739">
                  <c:v>-7.4744514832829045</c:v>
                </c:pt>
                <c:pt idx="740">
                  <c:v>-7.5108610501349853</c:v>
                </c:pt>
                <c:pt idx="741">
                  <c:v>-7.5470001871422632</c:v>
                </c:pt>
                <c:pt idx="742">
                  <c:v>-7.5828684752910522</c:v>
                </c:pt>
                <c:pt idx="743">
                  <c:v>-7.618465551376814</c:v>
                </c:pt>
                <c:pt idx="744">
                  <c:v>-7.6537911070855102</c:v>
                </c:pt>
                <c:pt idx="745">
                  <c:v>-7.6888448880743887</c:v>
                </c:pt>
                <c:pt idx="746">
                  <c:v>-7.7236266930526183</c:v>
                </c:pt>
                <c:pt idx="747">
                  <c:v>-7.7581363728622605</c:v>
                </c:pt>
                <c:pt idx="748">
                  <c:v>-7.7923738295599598</c:v>
                </c:pt>
                <c:pt idx="749">
                  <c:v>-7.826339015499709</c:v>
                </c:pt>
                <c:pt idx="750">
                  <c:v>-7.8600319324172041</c:v>
                </c:pt>
                <c:pt idx="751">
                  <c:v>-7.8934526305159869</c:v>
                </c:pt>
                <c:pt idx="752">
                  <c:v>-7.9266012075559473</c:v>
                </c:pt>
                <c:pt idx="753">
                  <c:v>-7.9594778079443751</c:v>
                </c:pt>
                <c:pt idx="754">
                  <c:v>-7.9920826218300309</c:v>
                </c:pt>
                <c:pt idx="755">
                  <c:v>-8.024415884200474</c:v>
                </c:pt>
                <c:pt idx="756">
                  <c:v>-8.0244478881412444</c:v>
                </c:pt>
                <c:pt idx="757">
                  <c:v>-8.0244798918135309</c:v>
                </c:pt>
                <c:pt idx="758">
                  <c:v>-8.0245118952173193</c:v>
                </c:pt>
                <c:pt idx="759">
                  <c:v>-8.0245438983526256</c:v>
                </c:pt>
                <c:pt idx="760">
                  <c:v>-8.0245759012194302</c:v>
                </c:pt>
                <c:pt idx="761">
                  <c:v>-8.0246079038177545</c:v>
                </c:pt>
                <c:pt idx="762">
                  <c:v>-8.0246399061475895</c:v>
                </c:pt>
                <c:pt idx="763">
                  <c:v>-8.0246719082089335</c:v>
                </c:pt>
                <c:pt idx="764">
                  <c:v>-8.0247039100017847</c:v>
                </c:pt>
                <c:pt idx="765">
                  <c:v>-8.0247359115261485</c:v>
                </c:pt>
                <c:pt idx="766">
                  <c:v>-8.0247679127820266</c:v>
                </c:pt>
                <c:pt idx="767">
                  <c:v>-8.0247999137694137</c:v>
                </c:pt>
                <c:pt idx="768">
                  <c:v>-8.0248319144883133</c:v>
                </c:pt>
                <c:pt idx="769">
                  <c:v>-8.0248639149387255</c:v>
                </c:pt>
                <c:pt idx="770">
                  <c:v>-8.0248959151206574</c:v>
                </c:pt>
                <c:pt idx="771">
                  <c:v>-8.0249279150340911</c:v>
                </c:pt>
                <c:pt idx="772">
                  <c:v>-8.0249599146790427</c:v>
                </c:pt>
                <c:pt idx="773">
                  <c:v>-8.0249919140555104</c:v>
                </c:pt>
                <c:pt idx="774">
                  <c:v>-8.0250239131634906</c:v>
                </c:pt>
                <c:pt idx="775">
                  <c:v>-8.0250559120029852</c:v>
                </c:pt>
                <c:pt idx="776">
                  <c:v>-8.0250879105739958</c:v>
                </c:pt>
                <c:pt idx="777">
                  <c:v>-8.025119908876519</c:v>
                </c:pt>
                <c:pt idx="778">
                  <c:v>-8.0251519069105619</c:v>
                </c:pt>
                <c:pt idx="779">
                  <c:v>-8.0251839046761155</c:v>
                </c:pt>
                <c:pt idx="780">
                  <c:v>-8.0252159021731888</c:v>
                </c:pt>
                <c:pt idx="781">
                  <c:v>-8.0252478994017746</c:v>
                </c:pt>
                <c:pt idx="782">
                  <c:v>-8.0252798963618854</c:v>
                </c:pt>
                <c:pt idx="783">
                  <c:v>-8.025311893053507</c:v>
                </c:pt>
                <c:pt idx="784">
                  <c:v>-8.0253438894766429</c:v>
                </c:pt>
                <c:pt idx="785">
                  <c:v>-8.0253758856313002</c:v>
                </c:pt>
                <c:pt idx="786">
                  <c:v>-8.0254078815174754</c:v>
                </c:pt>
                <c:pt idx="787">
                  <c:v>-8.0254398771351685</c:v>
                </c:pt>
                <c:pt idx="788">
                  <c:v>-8.025471872484383</c:v>
                </c:pt>
                <c:pt idx="789">
                  <c:v>-8.0255038675651136</c:v>
                </c:pt>
                <c:pt idx="790">
                  <c:v>-8.0255358623773567</c:v>
                </c:pt>
                <c:pt idx="791">
                  <c:v>-8.0255678569211248</c:v>
                </c:pt>
                <c:pt idx="792">
                  <c:v>-8.0255998511964091</c:v>
                </c:pt>
                <c:pt idx="793">
                  <c:v>-8.02563184520322</c:v>
                </c:pt>
                <c:pt idx="794">
                  <c:v>-8.0256638389415453</c:v>
                </c:pt>
                <c:pt idx="795">
                  <c:v>-8.0256958324113956</c:v>
                </c:pt>
                <c:pt idx="796">
                  <c:v>-8.0257278256127638</c:v>
                </c:pt>
                <c:pt idx="797">
                  <c:v>-8.0257598185456533</c:v>
                </c:pt>
                <c:pt idx="798">
                  <c:v>-8.0257918112100697</c:v>
                </c:pt>
                <c:pt idx="799">
                  <c:v>-8.0258238036060039</c:v>
                </c:pt>
                <c:pt idx="800">
                  <c:v>-8.0258557957334578</c:v>
                </c:pt>
                <c:pt idx="801">
                  <c:v>-8.0258877875924419</c:v>
                </c:pt>
                <c:pt idx="802">
                  <c:v>-8.0259197791829422</c:v>
                </c:pt>
                <c:pt idx="803">
                  <c:v>-8.0259517705049728</c:v>
                </c:pt>
                <c:pt idx="804">
                  <c:v>-8.0259837615585177</c:v>
                </c:pt>
                <c:pt idx="805">
                  <c:v>-8.0260157523435876</c:v>
                </c:pt>
                <c:pt idx="806">
                  <c:v>-8.026047742860186</c:v>
                </c:pt>
                <c:pt idx="807">
                  <c:v>-8.0260797331083094</c:v>
                </c:pt>
                <c:pt idx="808">
                  <c:v>-8.0261117230879524</c:v>
                </c:pt>
                <c:pt idx="809">
                  <c:v>-8.0261437127991151</c:v>
                </c:pt>
                <c:pt idx="810">
                  <c:v>-8.0261757022418205</c:v>
                </c:pt>
                <c:pt idx="811">
                  <c:v>-8.0262076914160403</c:v>
                </c:pt>
                <c:pt idx="812">
                  <c:v>-8.0262396803217921</c:v>
                </c:pt>
                <c:pt idx="813">
                  <c:v>-8.0262716689590654</c:v>
                </c:pt>
                <c:pt idx="814">
                  <c:v>-8.0263036573278637</c:v>
                </c:pt>
                <c:pt idx="815">
                  <c:v>-8.026335645428194</c:v>
                </c:pt>
                <c:pt idx="816">
                  <c:v>-8.026367633260044</c:v>
                </c:pt>
                <c:pt idx="817">
                  <c:v>-8.0263996208234278</c:v>
                </c:pt>
                <c:pt idx="818">
                  <c:v>-8.0264316081183367</c:v>
                </c:pt>
                <c:pt idx="819">
                  <c:v>-8.0264635951447723</c:v>
                </c:pt>
                <c:pt idx="820">
                  <c:v>-8.0264955819027417</c:v>
                </c:pt>
                <c:pt idx="821">
                  <c:v>-8.0265275683922326</c:v>
                </c:pt>
                <c:pt idx="822">
                  <c:v>-8.0265595546132573</c:v>
                </c:pt>
                <c:pt idx="823">
                  <c:v>-8.0265915405658124</c:v>
                </c:pt>
                <c:pt idx="824">
                  <c:v>-8.0266235262498924</c:v>
                </c:pt>
                <c:pt idx="825">
                  <c:v>-8.0266555116655045</c:v>
                </c:pt>
                <c:pt idx="826">
                  <c:v>-8.0266874968126487</c:v>
                </c:pt>
                <c:pt idx="827">
                  <c:v>-8.0267194816913214</c:v>
                </c:pt>
                <c:pt idx="828">
                  <c:v>-8.0267514663015262</c:v>
                </c:pt>
                <c:pt idx="829">
                  <c:v>-8.0267834506432614</c:v>
                </c:pt>
                <c:pt idx="830">
                  <c:v>-8.0268154347165304</c:v>
                </c:pt>
                <c:pt idx="831">
                  <c:v>-8.0268474185213332</c:v>
                </c:pt>
                <c:pt idx="832">
                  <c:v>-8.026879402057661</c:v>
                </c:pt>
                <c:pt idx="833">
                  <c:v>-8.0269113853255263</c:v>
                </c:pt>
                <c:pt idx="834">
                  <c:v>-8.0269433683249218</c:v>
                </c:pt>
                <c:pt idx="835">
                  <c:v>-8.0269753510558495</c:v>
                </c:pt>
                <c:pt idx="836">
                  <c:v>-8.0270073335183145</c:v>
                </c:pt>
                <c:pt idx="837">
                  <c:v>-8.0270393157123134</c:v>
                </c:pt>
                <c:pt idx="838">
                  <c:v>-8.0270712976378373</c:v>
                </c:pt>
                <c:pt idx="839">
                  <c:v>-8.0271032792949004</c:v>
                </c:pt>
                <c:pt idx="840">
                  <c:v>-8.0271352606835027</c:v>
                </c:pt>
                <c:pt idx="841">
                  <c:v>-8.0271672418036353</c:v>
                </c:pt>
                <c:pt idx="842">
                  <c:v>-8.0271992226553071</c:v>
                </c:pt>
                <c:pt idx="843">
                  <c:v>-8.0272312032385109</c:v>
                </c:pt>
                <c:pt idx="844">
                  <c:v>-8.0272631835532522</c:v>
                </c:pt>
                <c:pt idx="845">
                  <c:v>-8.0272951635995309</c:v>
                </c:pt>
                <c:pt idx="846">
                  <c:v>-8.0273271433773434</c:v>
                </c:pt>
                <c:pt idx="847">
                  <c:v>-8.0273591228866934</c:v>
                </c:pt>
                <c:pt idx="848">
                  <c:v>-8.0273911021275826</c:v>
                </c:pt>
                <c:pt idx="849">
                  <c:v>-8.0274230811000038</c:v>
                </c:pt>
                <c:pt idx="850">
                  <c:v>-8.0274550598039696</c:v>
                </c:pt>
                <c:pt idx="851">
                  <c:v>-8.0274870382394692</c:v>
                </c:pt>
                <c:pt idx="852">
                  <c:v>-8.0275190164065062</c:v>
                </c:pt>
                <c:pt idx="853">
                  <c:v>-8.0275509943050842</c:v>
                </c:pt>
                <c:pt idx="854">
                  <c:v>-8.0275829719352014</c:v>
                </c:pt>
                <c:pt idx="855">
                  <c:v>-8.0276149492968525</c:v>
                </c:pt>
                <c:pt idx="856">
                  <c:v>-8.0276469263900498</c:v>
                </c:pt>
                <c:pt idx="857">
                  <c:v>-8.0276789032147882</c:v>
                </c:pt>
                <c:pt idx="858">
                  <c:v>-8.0277108797710639</c:v>
                </c:pt>
                <c:pt idx="859">
                  <c:v>-8.0277428560588806</c:v>
                </c:pt>
                <c:pt idx="860">
                  <c:v>-8.0277748320782383</c:v>
                </c:pt>
                <c:pt idx="861">
                  <c:v>-8.0278068078291369</c:v>
                </c:pt>
                <c:pt idx="862">
                  <c:v>-8.0278387833115712</c:v>
                </c:pt>
                <c:pt idx="863">
                  <c:v>-8.0278707585255571</c:v>
                </c:pt>
                <c:pt idx="864">
                  <c:v>-8.0279027334710804</c:v>
                </c:pt>
                <c:pt idx="865">
                  <c:v>-8.0279347081481465</c:v>
                </c:pt>
                <c:pt idx="866">
                  <c:v>-8.0279666825567535</c:v>
                </c:pt>
                <c:pt idx="867">
                  <c:v>-8.027998656696905</c:v>
                </c:pt>
                <c:pt idx="868">
                  <c:v>-8.0280306305686011</c:v>
                </c:pt>
                <c:pt idx="869">
                  <c:v>-8.0280626041718435</c:v>
                </c:pt>
                <c:pt idx="870">
                  <c:v>-8.0280945775066215</c:v>
                </c:pt>
                <c:pt idx="871">
                  <c:v>-8.0281265505729547</c:v>
                </c:pt>
                <c:pt idx="872">
                  <c:v>-8.0281585233708253</c:v>
                </c:pt>
                <c:pt idx="873">
                  <c:v>-8.0281904959002421</c:v>
                </c:pt>
                <c:pt idx="874">
                  <c:v>-8.0282224681611982</c:v>
                </c:pt>
                <c:pt idx="875">
                  <c:v>-8.0282544401537077</c:v>
                </c:pt>
                <c:pt idx="876">
                  <c:v>-8.0282864118777582</c:v>
                </c:pt>
                <c:pt idx="877">
                  <c:v>-8.0283183833333602</c:v>
                </c:pt>
                <c:pt idx="878">
                  <c:v>-8.0283503545205051</c:v>
                </c:pt>
                <c:pt idx="879">
                  <c:v>-8.0283823254391962</c:v>
                </c:pt>
                <c:pt idx="880">
                  <c:v>-8.0284142960894407</c:v>
                </c:pt>
                <c:pt idx="881">
                  <c:v>-8.0284462664712279</c:v>
                </c:pt>
                <c:pt idx="882">
                  <c:v>-8.0284782365845597</c:v>
                </c:pt>
                <c:pt idx="883">
                  <c:v>-8.0285102064294467</c:v>
                </c:pt>
                <c:pt idx="884">
                  <c:v>-8.0285421760058746</c:v>
                </c:pt>
                <c:pt idx="885">
                  <c:v>-8.0285741453138577</c:v>
                </c:pt>
                <c:pt idx="886">
                  <c:v>-8.0286061143533871</c:v>
                </c:pt>
                <c:pt idx="887">
                  <c:v>-8.028638083124461</c:v>
                </c:pt>
                <c:pt idx="888">
                  <c:v>-8.0286700516270866</c:v>
                </c:pt>
                <c:pt idx="889">
                  <c:v>-8.0287020198612673</c:v>
                </c:pt>
                <c:pt idx="890">
                  <c:v>-8.0287339878269961</c:v>
                </c:pt>
                <c:pt idx="891">
                  <c:v>-8.0287659555242747</c:v>
                </c:pt>
                <c:pt idx="892">
                  <c:v>-8.0287979229531015</c:v>
                </c:pt>
                <c:pt idx="893">
                  <c:v>-8.0288298901134834</c:v>
                </c:pt>
                <c:pt idx="894">
                  <c:v>-8.0288618570054151</c:v>
                </c:pt>
                <c:pt idx="895">
                  <c:v>-8.0288938236288985</c:v>
                </c:pt>
                <c:pt idx="896">
                  <c:v>-8.0289257899839352</c:v>
                </c:pt>
                <c:pt idx="897">
                  <c:v>-8.0289577560705272</c:v>
                </c:pt>
                <c:pt idx="898">
                  <c:v>-8.0289897218886654</c:v>
                </c:pt>
                <c:pt idx="899">
                  <c:v>-8.0290216874383589</c:v>
                </c:pt>
                <c:pt idx="900">
                  <c:v>-8.0290536527196075</c:v>
                </c:pt>
                <c:pt idx="901">
                  <c:v>-8.0290856177324113</c:v>
                </c:pt>
                <c:pt idx="902">
                  <c:v>-8.0291175824767631</c:v>
                </c:pt>
                <c:pt idx="903">
                  <c:v>-8.0291495469526755</c:v>
                </c:pt>
                <c:pt idx="904">
                  <c:v>-8.0291815111601412</c:v>
                </c:pt>
                <c:pt idx="905">
                  <c:v>-8.0292134750991604</c:v>
                </c:pt>
                <c:pt idx="906">
                  <c:v>-8.0292454387697347</c:v>
                </c:pt>
                <c:pt idx="907">
                  <c:v>-8.0292774021718678</c:v>
                </c:pt>
                <c:pt idx="908">
                  <c:v>-8.0293093653055561</c:v>
                </c:pt>
                <c:pt idx="909">
                  <c:v>-8.0293413281707959</c:v>
                </c:pt>
                <c:pt idx="910">
                  <c:v>-8.0293732907675981</c:v>
                </c:pt>
                <c:pt idx="911">
                  <c:v>-8.0294052530959501</c:v>
                </c:pt>
                <c:pt idx="912">
                  <c:v>-8.0294372151558626</c:v>
                </c:pt>
                <c:pt idx="913">
                  <c:v>-8.0294691769473356</c:v>
                </c:pt>
                <c:pt idx="914">
                  <c:v>-8.0295011384703621</c:v>
                </c:pt>
                <c:pt idx="915">
                  <c:v>-8.0295330997249454</c:v>
                </c:pt>
                <c:pt idx="916">
                  <c:v>-8.0295650607110893</c:v>
                </c:pt>
                <c:pt idx="917">
                  <c:v>-8.0295970214287973</c:v>
                </c:pt>
                <c:pt idx="918">
                  <c:v>-8.0296289818780604</c:v>
                </c:pt>
                <c:pt idx="919">
                  <c:v>-8.0296609420588805</c:v>
                </c:pt>
                <c:pt idx="920">
                  <c:v>-8.0296929019712628</c:v>
                </c:pt>
                <c:pt idx="921">
                  <c:v>-8.0297248616152022</c:v>
                </c:pt>
                <c:pt idx="922">
                  <c:v>-8.029756820990702</c:v>
                </c:pt>
                <c:pt idx="923">
                  <c:v>-8.0297887800977676</c:v>
                </c:pt>
                <c:pt idx="924">
                  <c:v>-8.029820738936392</c:v>
                </c:pt>
                <c:pt idx="925">
                  <c:v>-8.0298526975065787</c:v>
                </c:pt>
                <c:pt idx="926">
                  <c:v>-8.0298846558083241</c:v>
                </c:pt>
                <c:pt idx="927">
                  <c:v>-8.0299166138416336</c:v>
                </c:pt>
                <c:pt idx="928">
                  <c:v>-8.0299485716065053</c:v>
                </c:pt>
                <c:pt idx="929">
                  <c:v>-8.0299805291029429</c:v>
                </c:pt>
                <c:pt idx="930">
                  <c:v>-8.0300124863309339</c:v>
                </c:pt>
                <c:pt idx="931">
                  <c:v>-8.0300444432904943</c:v>
                </c:pt>
                <c:pt idx="932">
                  <c:v>-8.0300763999816134</c:v>
                </c:pt>
                <c:pt idx="933">
                  <c:v>-8.0301083564043036</c:v>
                </c:pt>
                <c:pt idx="934">
                  <c:v>-8.0301403125585491</c:v>
                </c:pt>
                <c:pt idx="935">
                  <c:v>-8.0301722684443657</c:v>
                </c:pt>
                <c:pt idx="936">
                  <c:v>-8.0302042240617446</c:v>
                </c:pt>
                <c:pt idx="937">
                  <c:v>-8.0302361794106893</c:v>
                </c:pt>
                <c:pt idx="938">
                  <c:v>-8.0302681344911981</c:v>
                </c:pt>
                <c:pt idx="939">
                  <c:v>-8.0303000893032745</c:v>
                </c:pt>
                <c:pt idx="940">
                  <c:v>-8.0303320438469168</c:v>
                </c:pt>
                <c:pt idx="941">
                  <c:v>-8.0303639981221213</c:v>
                </c:pt>
                <c:pt idx="942">
                  <c:v>-8.0303959521288935</c:v>
                </c:pt>
                <c:pt idx="943">
                  <c:v>-8.0304279058672403</c:v>
                </c:pt>
                <c:pt idx="944">
                  <c:v>-8.0304598593371477</c:v>
                </c:pt>
                <c:pt idx="945">
                  <c:v>-8.030491812538628</c:v>
                </c:pt>
                <c:pt idx="946">
                  <c:v>-8.0305237654716706</c:v>
                </c:pt>
                <c:pt idx="947">
                  <c:v>-8.0305557181362826</c:v>
                </c:pt>
                <c:pt idx="948">
                  <c:v>-8.0305876705324692</c:v>
                </c:pt>
                <c:pt idx="949">
                  <c:v>-8.0306196226602147</c:v>
                </c:pt>
                <c:pt idx="950">
                  <c:v>-8.030651574519533</c:v>
                </c:pt>
                <c:pt idx="951">
                  <c:v>-8.030683526110419</c:v>
                </c:pt>
                <c:pt idx="952">
                  <c:v>-8.0307154774328779</c:v>
                </c:pt>
                <c:pt idx="953">
                  <c:v>-8.0307474284869063</c:v>
                </c:pt>
                <c:pt idx="954">
                  <c:v>-8.0307793792725057</c:v>
                </c:pt>
                <c:pt idx="955">
                  <c:v>-8.0308113297896764</c:v>
                </c:pt>
                <c:pt idx="956">
                  <c:v>-8.0308432800384129</c:v>
                </c:pt>
                <c:pt idx="957">
                  <c:v>-8.0308752300187223</c:v>
                </c:pt>
                <c:pt idx="958">
                  <c:v>-8.03090717973061</c:v>
                </c:pt>
                <c:pt idx="959">
                  <c:v>-8.0309391291740653</c:v>
                </c:pt>
                <c:pt idx="960">
                  <c:v>-8.0309710783490935</c:v>
                </c:pt>
                <c:pt idx="961">
                  <c:v>-8.0310030272556894</c:v>
                </c:pt>
                <c:pt idx="962">
                  <c:v>-8.0310349758938688</c:v>
                </c:pt>
                <c:pt idx="963">
                  <c:v>-8.0310669242636123</c:v>
                </c:pt>
                <c:pt idx="964">
                  <c:v>-8.0310988723649341</c:v>
                </c:pt>
                <c:pt idx="965">
                  <c:v>-8.0311308201978306</c:v>
                </c:pt>
                <c:pt idx="966">
                  <c:v>-8.0311627677623001</c:v>
                </c:pt>
                <c:pt idx="967">
                  <c:v>-8.0311947150583443</c:v>
                </c:pt>
                <c:pt idx="968">
                  <c:v>-8.0312266620859614</c:v>
                </c:pt>
                <c:pt idx="969">
                  <c:v>-8.0312586088451514</c:v>
                </c:pt>
                <c:pt idx="970">
                  <c:v>-8.0312905553359215</c:v>
                </c:pt>
                <c:pt idx="971">
                  <c:v>-8.0313225015582628</c:v>
                </c:pt>
                <c:pt idx="972">
                  <c:v>-8.0313544475121841</c:v>
                </c:pt>
                <c:pt idx="973">
                  <c:v>-8.0313863931976819</c:v>
                </c:pt>
                <c:pt idx="974">
                  <c:v>-8.0314183386147544</c:v>
                </c:pt>
                <c:pt idx="975">
                  <c:v>-8.0314502837634034</c:v>
                </c:pt>
                <c:pt idx="976">
                  <c:v>-8.0314822286436325</c:v>
                </c:pt>
                <c:pt idx="977">
                  <c:v>-8.031514173255438</c:v>
                </c:pt>
                <c:pt idx="978">
                  <c:v>-8.0315461175988236</c:v>
                </c:pt>
                <c:pt idx="979">
                  <c:v>-8.031578061673784</c:v>
                </c:pt>
                <c:pt idx="980">
                  <c:v>-8.0316100054803208</c:v>
                </c:pt>
                <c:pt idx="981">
                  <c:v>-8.031641949018443</c:v>
                </c:pt>
                <c:pt idx="982">
                  <c:v>-8.0316738922881399</c:v>
                </c:pt>
                <c:pt idx="983">
                  <c:v>-8.0317058352894168</c:v>
                </c:pt>
                <c:pt idx="984">
                  <c:v>-8.0317377780222809</c:v>
                </c:pt>
                <c:pt idx="985">
                  <c:v>-8.031769720486718</c:v>
                </c:pt>
                <c:pt idx="986">
                  <c:v>-8.0318016626827369</c:v>
                </c:pt>
                <c:pt idx="987">
                  <c:v>-8.0318336046103322</c:v>
                </c:pt>
                <c:pt idx="988">
                  <c:v>-8.031865546269513</c:v>
                </c:pt>
                <c:pt idx="989">
                  <c:v>-8.0318974876602791</c:v>
                </c:pt>
                <c:pt idx="990">
                  <c:v>-8.03192942878262</c:v>
                </c:pt>
                <c:pt idx="991">
                  <c:v>-8.0319613696365479</c:v>
                </c:pt>
                <c:pt idx="992">
                  <c:v>-8.0319933102220578</c:v>
                </c:pt>
                <c:pt idx="993">
                  <c:v>-8.0320252505391494</c:v>
                </c:pt>
                <c:pt idx="994">
                  <c:v>-8.0320571905878246</c:v>
                </c:pt>
                <c:pt idx="995">
                  <c:v>-8.0320891303680817</c:v>
                </c:pt>
                <c:pt idx="996">
                  <c:v>-8.0321210698799259</c:v>
                </c:pt>
                <c:pt idx="997">
                  <c:v>-8.0321530091233484</c:v>
                </c:pt>
                <c:pt idx="998">
                  <c:v>-8.032184948098358</c:v>
                </c:pt>
                <c:pt idx="999">
                  <c:v>-8.0322168868049584</c:v>
                </c:pt>
                <c:pt idx="1000">
                  <c:v>-8.0322488252431352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33-45DE-97F3-E9553C49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5168"/>
        <c:axId val="149577088"/>
      </c:scatterChart>
      <c:valAx>
        <c:axId val="1495751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577088"/>
        <c:crosses val="autoZero"/>
        <c:crossBetween val="midCat"/>
      </c:valAx>
      <c:valAx>
        <c:axId val="149577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Accélérations [m/s²]_</a:t>
                </a:r>
              </a:p>
            </c:rich>
          </c:tx>
          <c:layout>
            <c:manualLayout>
              <c:xMode val="edge"/>
              <c:yMode val="edge"/>
              <c:x val="2.712264150943397E-2"/>
              <c:y val="0.297386526684164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575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195018075570744"/>
          <c:y val="0.25777777777777783"/>
          <c:w val="0.30974867528351424"/>
          <c:h val="0.157777777777777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Positions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3856444854360881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Courbes!$B$144</c:f>
              <c:strCache>
                <c:ptCount val="1"/>
                <c:pt idx="0">
                  <c:v>Portée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6.7664209236084237E-6</c:v>
                </c:pt>
                <c:pt idx="2">
                  <c:v>1.2579820776912048E-4</c:v>
                </c:pt>
                <c:pt idx="3">
                  <c:v>5.5462205426296202E-4</c:v>
                </c:pt>
                <c:pt idx="4">
                  <c:v>1.4909211581924009E-3</c:v>
                </c:pt>
                <c:pt idx="5">
                  <c:v>3.1326012307218588E-3</c:v>
                </c:pt>
                <c:pt idx="6">
                  <c:v>5.627790690633197E-3</c:v>
                </c:pt>
                <c:pt idx="7">
                  <c:v>9.0247019151438023E-3</c:v>
                </c:pt>
                <c:pt idx="8">
                  <c:v>1.3321530870825743E-2</c:v>
                </c:pt>
                <c:pt idx="9">
                  <c:v>1.8516462908328316E-2</c:v>
                </c:pt>
                <c:pt idx="10">
                  <c:v>2.46076727961895E-2</c:v>
                </c:pt>
                <c:pt idx="11">
                  <c:v>3.1593324755105845E-2</c:v>
                </c:pt>
                <c:pt idx="12">
                  <c:v>3.9471572492657876E-2</c:v>
                </c:pt>
                <c:pt idx="13">
                  <c:v>4.8240559238488044E-2</c:v>
                </c:pt>
                <c:pt idx="14">
                  <c:v>5.7898417779928255E-2</c:v>
                </c:pt>
                <c:pt idx="15">
                  <c:v>6.844327049807386E-2</c:v>
                </c:pt>
                <c:pt idx="16">
                  <c:v>7.9873229404301069E-2</c:v>
                </c:pt>
                <c:pt idx="17">
                  <c:v>9.2186396177224586E-2</c:v>
                </c:pt>
                <c:pt idx="18">
                  <c:v>0.10538086220009237</c:v>
                </c:pt>
                <c:pt idx="19">
                  <c:v>0.11945470859861418</c:v>
                </c:pt>
                <c:pt idx="20">
                  <c:v>0.13440600627922072</c:v>
                </c:pt>
                <c:pt idx="21">
                  <c:v>0.15023281596775007</c:v>
                </c:pt>
                <c:pt idx="22">
                  <c:v>0.16693318824855788</c:v>
                </c:pt>
                <c:pt idx="23">
                  <c:v>0.18450516360404826</c:v>
                </c:pt>
                <c:pt idx="24">
                  <c:v>0.20294677245462159</c:v>
                </c:pt>
                <c:pt idx="25">
                  <c:v>0.22225603519903597</c:v>
                </c:pt>
                <c:pt idx="26">
                  <c:v>0.24243096225517877</c:v>
                </c:pt>
                <c:pt idx="27">
                  <c:v>0.26346955410124451</c:v>
                </c:pt>
                <c:pt idx="28">
                  <c:v>0.28536980131731599</c:v>
                </c:pt>
                <c:pt idx="29">
                  <c:v>0.30812968462734436</c:v>
                </c:pt>
                <c:pt idx="30">
                  <c:v>0.33174717494152495</c:v>
                </c:pt>
                <c:pt idx="31">
                  <c:v>0.35622023339906506</c:v>
                </c:pt>
                <c:pt idx="32">
                  <c:v>0.38158942169097881</c:v>
                </c:pt>
                <c:pt idx="33">
                  <c:v>0.40789681439170727</c:v>
                </c:pt>
                <c:pt idx="34">
                  <c:v>0.43514336195903242</c:v>
                </c:pt>
                <c:pt idx="35">
                  <c:v>0.46332993016305235</c:v>
                </c:pt>
                <c:pt idx="36">
                  <c:v>0.49245728127188809</c:v>
                </c:pt>
                <c:pt idx="37">
                  <c:v>0.52252607926967953</c:v>
                </c:pt>
                <c:pt idx="38">
                  <c:v>0.5535368946319088</c:v>
                </c:pt>
                <c:pt idx="39">
                  <c:v>0.58549020870772339</c:v>
                </c:pt>
                <c:pt idx="40">
                  <c:v>0.61838641775212522</c:v>
                </c:pt>
                <c:pt idx="41">
                  <c:v>0.65222583664517619</c:v>
                </c:pt>
                <c:pt idx="42">
                  <c:v>0.68700870233055022</c:v>
                </c:pt>
                <c:pt idx="43">
                  <c:v>0.72273517700167478</c:v>
                </c:pt>
                <c:pt idx="44">
                  <c:v>0.75940535106022522</c:v>
                </c:pt>
                <c:pt idx="45">
                  <c:v>0.79701924586875894</c:v>
                </c:pt>
                <c:pt idx="46">
                  <c:v>0.83557681631672132</c:v>
                </c:pt>
                <c:pt idx="47">
                  <c:v>0.875077953216851</c:v>
                </c:pt>
                <c:pt idx="48">
                  <c:v>0.91552248554710869</c:v>
                </c:pt>
                <c:pt idx="49">
                  <c:v>0.95691018255159643</c:v>
                </c:pt>
                <c:pt idx="50">
                  <c:v>0.99924075571249527</c:v>
                </c:pt>
                <c:pt idx="51">
                  <c:v>1.0425141383357071</c:v>
                </c:pt>
                <c:pt idx="52">
                  <c:v>1.0867307671936095</c:v>
                </c:pt>
                <c:pt idx="53">
                  <c:v>1.1318913092763505</c:v>
                </c:pt>
                <c:pt idx="54">
                  <c:v>1.1779963861979343</c:v>
                </c:pt>
                <c:pt idx="55">
                  <c:v>1.2250465754942961</c:v>
                </c:pt>
                <c:pt idx="56">
                  <c:v>1.2730424118519654</c:v>
                </c:pt>
                <c:pt idx="57">
                  <c:v>1.3219843882723454</c:v>
                </c:pt>
                <c:pt idx="58">
                  <c:v>1.3718729571761861</c:v>
                </c:pt>
                <c:pt idx="59">
                  <c:v>1.4227085314524313</c:v>
                </c:pt>
                <c:pt idx="60">
                  <c:v>1.4744914854552624</c:v>
                </c:pt>
                <c:pt idx="61">
                  <c:v>1.5272221559528334</c:v>
                </c:pt>
                <c:pt idx="62">
                  <c:v>1.5809008430309097</c:v>
                </c:pt>
                <c:pt idx="63">
                  <c:v>1.6355278109543554</c:v>
                </c:pt>
                <c:pt idx="64">
                  <c:v>1.6911032889891806</c:v>
                </c:pt>
                <c:pt idx="65">
                  <c:v>1.7476274721876446</c:v>
                </c:pt>
                <c:pt idx="66">
                  <c:v>1.8051005221387193</c:v>
                </c:pt>
                <c:pt idx="67">
                  <c:v>1.8635225676860381</c:v>
                </c:pt>
                <c:pt idx="68">
                  <c:v>1.922893705615297</c:v>
                </c:pt>
                <c:pt idx="69">
                  <c:v>1.98321400131293</c:v>
                </c:pt>
                <c:pt idx="70">
                  <c:v>2.0444834893977446</c:v>
                </c:pt>
                <c:pt idx="71">
                  <c:v>2.1067021743270846</c:v>
                </c:pt>
                <c:pt idx="72">
                  <c:v>2.1698700309789767</c:v>
                </c:pt>
                <c:pt idx="73">
                  <c:v>2.2339870052116106</c:v>
                </c:pt>
                <c:pt idx="74">
                  <c:v>2.2990530144014163</c:v>
                </c:pt>
                <c:pt idx="75">
                  <c:v>2.3650679479609096</c:v>
                </c:pt>
                <c:pt idx="76">
                  <c:v>2.4320316678374039</c:v>
                </c:pt>
                <c:pt idx="77">
                  <c:v>2.4999440089936091</c:v>
                </c:pt>
                <c:pt idx="78">
                  <c:v>2.5688047798710754</c:v>
                </c:pt>
                <c:pt idx="79">
                  <c:v>2.6386137628373731</c:v>
                </c:pt>
                <c:pt idx="80">
                  <c:v>2.7093707146178505</c:v>
                </c:pt>
                <c:pt idx="81">
                  <c:v>2.7810753667127508</c:v>
                </c:pt>
                <c:pt idx="82">
                  <c:v>2.8537274258004248</c:v>
                </c:pt>
                <c:pt idx="83">
                  <c:v>2.9273265741273313</c:v>
                </c:pt>
                <c:pt idx="84">
                  <c:v>3.0018724698854728</c:v>
                </c:pt>
                <c:pt idx="85">
                  <c:v>3.0773647475778776</c:v>
                </c:pt>
                <c:pt idx="86">
                  <c:v>3.1538030183727019</c:v>
                </c:pt>
                <c:pt idx="87">
                  <c:v>3.2311868704464919</c:v>
                </c:pt>
                <c:pt idx="88">
                  <c:v>3.3095158693171163</c:v>
                </c:pt>
                <c:pt idx="89">
                  <c:v>3.3887895581668466</c:v>
                </c:pt>
                <c:pt idx="90">
                  <c:v>3.4690074581560411</c:v>
                </c:pt>
                <c:pt idx="91">
                  <c:v>3.5501690687278593</c:v>
                </c:pt>
                <c:pt idx="92">
                  <c:v>3.632273867904408</c:v>
                </c:pt>
                <c:pt idx="93">
                  <c:v>3.7153213125747055</c:v>
                </c:pt>
                <c:pt idx="94">
                  <c:v>3.7993108387748209</c:v>
                </c:pt>
                <c:pt idx="95">
                  <c:v>3.8842418619605317</c:v>
                </c:pt>
                <c:pt idx="96">
                  <c:v>3.9701137772728243</c:v>
                </c:pt>
                <c:pt idx="97">
                  <c:v>4.0569259597965432</c:v>
                </c:pt>
                <c:pt idx="98">
                  <c:v>4.1446777648124797</c:v>
                </c:pt>
                <c:pt idx="99">
                  <c:v>4.2333685280431732</c:v>
                </c:pt>
                <c:pt idx="100">
                  <c:v>4.3229975658926927</c:v>
                </c:pt>
                <c:pt idx="101">
                  <c:v>4.4135640375439404</c:v>
                </c:pt>
                <c:pt idx="102">
                  <c:v>4.5050668064480917</c:v>
                </c:pt>
                <c:pt idx="103">
                  <c:v>4.5975045779198203</c:v>
                </c:pt>
                <c:pt idx="104">
                  <c:v>4.6908760373460341</c:v>
                </c:pt>
                <c:pt idx="105">
                  <c:v>4.785179850431283</c:v>
                </c:pt>
                <c:pt idx="106">
                  <c:v>4.8804146634378585</c:v>
                </c:pt>
                <c:pt idx="107">
                  <c:v>4.9765791034207849</c:v>
                </c:pt>
                <c:pt idx="108">
                  <c:v>5.073671778457908</c:v>
                </c:pt>
                <c:pt idx="109">
                  <c:v>5.1716912778752677</c:v>
                </c:pt>
                <c:pt idx="110">
                  <c:v>5.2706361724679409</c:v>
                </c:pt>
                <c:pt idx="111">
                  <c:v>5.3705050147165183</c:v>
                </c:pt>
                <c:pt idx="112">
                  <c:v>5.4712963389993901</c:v>
                </c:pt>
                <c:pt idx="113">
                  <c:v>5.5730086618009844</c:v>
                </c:pt>
                <c:pt idx="114">
                  <c:v>5.6756404819161226</c:v>
                </c:pt>
                <c:pt idx="115">
                  <c:v>5.7791902806506181</c:v>
                </c:pt>
                <c:pt idx="116">
                  <c:v>5.8836565220182688</c:v>
                </c:pt>
                <c:pt idx="117">
                  <c:v>5.9890376529343623</c:v>
                </c:pt>
                <c:pt idx="118">
                  <c:v>6.0953321034058243</c:v>
                </c:pt>
                <c:pt idx="119">
                  <c:v>6.2025382867181245</c:v>
                </c:pt>
                <c:pt idx="120">
                  <c:v>6.3106545996190571</c:v>
                </c:pt>
                <c:pt idx="121">
                  <c:v>6.4196794224994997</c:v>
                </c:pt>
                <c:pt idx="122">
                  <c:v>6.5296111195712561</c:v>
                </c:pt>
                <c:pt idx="123">
                  <c:v>6.6404480390420835</c:v>
                </c:pt>
                <c:pt idx="124">
                  <c:v>6.7521885132879964</c:v>
                </c:pt>
                <c:pt idx="125">
                  <c:v>6.8648308590229368</c:v>
                </c:pt>
                <c:pt idx="126">
                  <c:v>6.9783733774659016</c:v>
                </c:pt>
                <c:pt idx="127">
                  <c:v>7.092814354505605</c:v>
                </c:pt>
                <c:pt idx="128">
                  <c:v>7.2081520608627612</c:v>
                </c:pt>
                <c:pt idx="129">
                  <c:v>7.3243847522500571</c:v>
                </c:pt>
                <c:pt idx="130">
                  <c:v>7.4415106695298956</c:v>
                </c:pt>
                <c:pt idx="131">
                  <c:v>7.5595280388699715</c:v>
                </c:pt>
                <c:pt idx="132">
                  <c:v>7.6784350718967511</c:v>
                </c:pt>
                <c:pt idx="133">
                  <c:v>7.7982299658469252</c:v>
                </c:pt>
                <c:pt idx="134">
                  <c:v>7.9189109037168848</c:v>
                </c:pt>
                <c:pt idx="135">
                  <c:v>8.0404760544102913</c:v>
                </c:pt>
                <c:pt idx="136">
                  <c:v>8.1629235728837877</c:v>
                </c:pt>
                <c:pt idx="137">
                  <c:v>8.2862516002909139</c:v>
                </c:pt>
                <c:pt idx="138">
                  <c:v>8.4104582641242782</c:v>
                </c:pt>
                <c:pt idx="139">
                  <c:v>8.5355416783560241</c:v>
                </c:pt>
                <c:pt idx="140">
                  <c:v>8.6614999435766524</c:v>
                </c:pt>
                <c:pt idx="141">
                  <c:v>8.7883311471322454</c:v>
                </c:pt>
                <c:pt idx="142">
                  <c:v>8.9160333632601265</c:v>
                </c:pt>
                <c:pt idx="143">
                  <c:v>9.0446046532230113</c:v>
                </c:pt>
                <c:pt idx="144">
                  <c:v>9.1740430654416869</c:v>
                </c:pt>
                <c:pt idx="145">
                  <c:v>9.3043466356262492</c:v>
                </c:pt>
                <c:pt idx="146">
                  <c:v>9.4355133869059546</c:v>
                </c:pt>
                <c:pt idx="147">
                  <c:v>9.5675413299577077</c:v>
                </c:pt>
                <c:pt idx="148">
                  <c:v>9.7004284631332247</c:v>
                </c:pt>
                <c:pt idx="149">
                  <c:v>9.834172772584914</c:v>
                </c:pt>
                <c:pt idx="150">
                  <c:v>9.9687722323904921</c:v>
                </c:pt>
                <c:pt idx="151">
                  <c:v>10.104224853936708</c:v>
                </c:pt>
                <c:pt idx="152">
                  <c:v>10.240528735443547</c:v>
                </c:pt>
                <c:pt idx="153">
                  <c:v>10.377682012988437</c:v>
                </c:pt>
                <c:pt idx="154">
                  <c:v>10.515682811383806</c:v>
                </c:pt>
                <c:pt idx="155">
                  <c:v>10.654529244288252</c:v>
                </c:pt>
                <c:pt idx="156">
                  <c:v>10.794219414316691</c:v>
                </c:pt>
                <c:pt idx="157">
                  <c:v>10.934751413149543</c:v>
                </c:pt>
                <c:pt idx="158">
                  <c:v>11.076123321640948</c:v>
                </c:pt>
                <c:pt idx="159">
                  <c:v>11.21833320992604</c:v>
                </c:pt>
                <c:pt idx="160">
                  <c:v>11.361379137527322</c:v>
                </c:pt>
                <c:pt idx="161">
                  <c:v>11.505259153460123</c:v>
                </c:pt>
                <c:pt idx="162">
                  <c:v>11.649971296337192</c:v>
                </c:pt>
                <c:pt idx="163">
                  <c:v>11.795513594472428</c:v>
                </c:pt>
                <c:pt idx="164">
                  <c:v>11.941884065983778</c:v>
                </c:pt>
                <c:pt idx="165">
                  <c:v>12.089080718895302</c:v>
                </c:pt>
                <c:pt idx="166">
                  <c:v>12.237101551238434</c:v>
                </c:pt>
                <c:pt idx="167">
                  <c:v>12.385944551152464</c:v>
                </c:pt>
                <c:pt idx="168">
                  <c:v>12.535607696984236</c:v>
                </c:pt>
                <c:pt idx="169">
                  <c:v>12.686088957387089</c:v>
                </c:pt>
                <c:pt idx="170">
                  <c:v>12.837386291419051</c:v>
                </c:pt>
                <c:pt idx="171">
                  <c:v>12.98949764864032</c:v>
                </c:pt>
                <c:pt idx="172">
                  <c:v>13.142420969210002</c:v>
                </c:pt>
                <c:pt idx="173">
                  <c:v>13.296154183982166</c:v>
                </c:pt>
                <c:pt idx="174">
                  <c:v>13.450695214601199</c:v>
                </c:pt>
                <c:pt idx="175">
                  <c:v>13.606041973596486</c:v>
                </c:pt>
                <c:pt idx="176">
                  <c:v>13.762192364476423</c:v>
                </c:pt>
                <c:pt idx="177">
                  <c:v>13.919144281821767</c:v>
                </c:pt>
                <c:pt idx="178">
                  <c:v>14.076895611378353</c:v>
                </c:pt>
                <c:pt idx="179">
                  <c:v>14.235444230149167</c:v>
                </c:pt>
                <c:pt idx="180">
                  <c:v>14.394788006485802</c:v>
                </c:pt>
                <c:pt idx="181">
                  <c:v>14.554924800179293</c:v>
                </c:pt>
                <c:pt idx="182">
                  <c:v>14.715852462550354</c:v>
                </c:pt>
                <c:pt idx="183">
                  <c:v>14.877568836539009</c:v>
                </c:pt>
                <c:pt idx="184">
                  <c:v>15.040071756793651</c:v>
                </c:pt>
                <c:pt idx="185">
                  <c:v>15.203359049759509</c:v>
                </c:pt>
                <c:pt idx="186">
                  <c:v>15.367428533766551</c:v>
                </c:pt>
                <c:pt idx="187">
                  <c:v>15.53227801911682</c:v>
                </c:pt>
                <c:pt idx="188">
                  <c:v>15.697905308171224</c:v>
                </c:pt>
                <c:pt idx="189">
                  <c:v>15.86430819543577</c:v>
                </c:pt>
                <c:pt idx="190">
                  <c:v>16.03148446764726</c:v>
                </c:pt>
                <c:pt idx="191">
                  <c:v>16.199431903858454</c:v>
                </c:pt>
                <c:pt idx="192">
                  <c:v>16.368148275522699</c:v>
                </c:pt>
                <c:pt idx="193">
                  <c:v>16.537631346578063</c:v>
                </c:pt>
                <c:pt idx="194">
                  <c:v>16.707878873530909</c:v>
                </c:pt>
                <c:pt idx="195">
                  <c:v>16.878888605539011</c:v>
                </c:pt>
                <c:pt idx="196">
                  <c:v>17.050658284494126</c:v>
                </c:pt>
                <c:pt idx="197">
                  <c:v>17.223185645104092</c:v>
                </c:pt>
                <c:pt idx="198">
                  <c:v>17.396468414974425</c:v>
                </c:pt>
                <c:pt idx="199">
                  <c:v>17.570504314689437</c:v>
                </c:pt>
                <c:pt idx="200">
                  <c:v>17.745291057892857</c:v>
                </c:pt>
                <c:pt idx="201">
                  <c:v>17.920826351367989</c:v>
                </c:pt>
                <c:pt idx="202">
                  <c:v>18.097107895117389</c:v>
                </c:pt>
                <c:pt idx="203">
                  <c:v>18.274133382442077</c:v>
                </c:pt>
                <c:pt idx="204">
                  <c:v>18.45190050002029</c:v>
                </c:pt>
                <c:pt idx="205">
                  <c:v>18.630406927985756</c:v>
                </c:pt>
                <c:pt idx="206">
                  <c:v>18.809650340005543</c:v>
                </c:pt>
                <c:pt idx="207">
                  <c:v>18.989628403357418</c:v>
                </c:pt>
                <c:pt idx="208">
                  <c:v>19.170338779006798</c:v>
                </c:pt>
                <c:pt idx="209">
                  <c:v>19.351779121683222</c:v>
                </c:pt>
                <c:pt idx="210">
                  <c:v>19.533947079956398</c:v>
                </c:pt>
                <c:pt idx="211">
                  <c:v>19.716840296311815</c:v>
                </c:pt>
                <c:pt idx="212">
                  <c:v>19.900456407225903</c:v>
                </c:pt>
                <c:pt idx="213">
                  <c:v>20.084793043240783</c:v>
                </c:pt>
                <c:pt idx="214">
                  <c:v>20.269847829038568</c:v>
                </c:pt>
                <c:pt idx="215">
                  <c:v>20.455618383515255</c:v>
                </c:pt>
                <c:pt idx="216">
                  <c:v>20.642102319854175</c:v>
                </c:pt>
                <c:pt idx="217">
                  <c:v>20.829297245599051</c:v>
                </c:pt>
                <c:pt idx="218">
                  <c:v>21.017200762726596</c:v>
                </c:pt>
                <c:pt idx="219">
                  <c:v>21.205810467718742</c:v>
                </c:pt>
                <c:pt idx="220">
                  <c:v>21.39512395163441</c:v>
                </c:pt>
                <c:pt idx="221">
                  <c:v>21.585138800180918</c:v>
                </c:pt>
                <c:pt idx="222">
                  <c:v>21.775852593784926</c:v>
                </c:pt>
                <c:pt idx="223">
                  <c:v>21.96726290766302</c:v>
                </c:pt>
                <c:pt idx="224">
                  <c:v>22.159367311891874</c:v>
                </c:pt>
                <c:pt idx="225">
                  <c:v>22.352163371477999</c:v>
                </c:pt>
                <c:pt idx="226">
                  <c:v>22.545648646427114</c:v>
                </c:pt>
                <c:pt idx="227">
                  <c:v>22.739820691813087</c:v>
                </c:pt>
                <c:pt idx="228">
                  <c:v>22.934677057846518</c:v>
                </c:pt>
                <c:pt idx="229">
                  <c:v>23.130215289942889</c:v>
                </c:pt>
                <c:pt idx="230">
                  <c:v>23.326432928790354</c:v>
                </c:pt>
                <c:pt idx="231">
                  <c:v>23.523327510417104</c:v>
                </c:pt>
                <c:pt idx="232">
                  <c:v>23.720896566258372</c:v>
                </c:pt>
                <c:pt idx="233">
                  <c:v>23.919137623223023</c:v>
                </c:pt>
                <c:pt idx="234">
                  <c:v>24.118048203759773</c:v>
                </c:pt>
                <c:pt idx="235">
                  <c:v>24.317625825923017</c:v>
                </c:pt>
                <c:pt idx="236">
                  <c:v>24.517868003438277</c:v>
                </c:pt>
                <c:pt idx="237">
                  <c:v>24.718772245767251</c:v>
                </c:pt>
                <c:pt idx="238">
                  <c:v>24.920336058172499</c:v>
                </c:pt>
                <c:pt idx="239">
                  <c:v>25.122556941781731</c:v>
                </c:pt>
                <c:pt idx="240">
                  <c:v>25.325432393651734</c:v>
                </c:pt>
                <c:pt idx="241">
                  <c:v>25.528959906831904</c:v>
                </c:pt>
                <c:pt idx="242">
                  <c:v>25.733136970427402</c:v>
                </c:pt>
                <c:pt idx="243">
                  <c:v>25.937961069661938</c:v>
                </c:pt>
                <c:pt idx="244">
                  <c:v>26.143429685940184</c:v>
                </c:pt>
                <c:pt idx="245">
                  <c:v>26.349540296909804</c:v>
                </c:pt>
                <c:pt idx="246">
                  <c:v>26.556290376523112</c:v>
                </c:pt>
                <c:pt idx="247">
                  <c:v>26.763677395098362</c:v>
                </c:pt>
                <c:pt idx="248">
                  <c:v>26.971698819380659</c:v>
                </c:pt>
                <c:pt idx="249">
                  <c:v>27.180352112602503</c:v>
                </c:pt>
                <c:pt idx="250">
                  <c:v>27.389634734543964</c:v>
                </c:pt>
                <c:pt idx="251">
                  <c:v>27.599543914835806</c:v>
                </c:pt>
                <c:pt idx="252">
                  <c:v>27.810076425978416</c:v>
                </c:pt>
                <c:pt idx="253">
                  <c:v>28.021228809992678</c:v>
                </c:pt>
                <c:pt idx="254">
                  <c:v>28.232997605365256</c:v>
                </c:pt>
                <c:pt idx="255">
                  <c:v>28.445379347128739</c:v>
                </c:pt>
                <c:pt idx="256">
                  <c:v>28.658370566941198</c:v>
                </c:pt>
                <c:pt idx="257">
                  <c:v>28.871967793165155</c:v>
                </c:pt>
                <c:pt idx="258">
                  <c:v>29.086167550945945</c:v>
                </c:pt>
                <c:pt idx="259">
                  <c:v>29.300966362289479</c:v>
                </c:pt>
                <c:pt idx="260">
                  <c:v>29.51636074613943</c:v>
                </c:pt>
                <c:pt idx="261">
                  <c:v>29.732347218453818</c:v>
                </c:pt>
                <c:pt idx="262">
                  <c:v>29.948922292281008</c:v>
                </c:pt>
                <c:pt idx="263">
                  <c:v>30.166082477835108</c:v>
                </c:pt>
                <c:pt idx="264">
                  <c:v>30.383824282570799</c:v>
                </c:pt>
                <c:pt idx="265">
                  <c:v>30.60214421125756</c:v>
                </c:pt>
                <c:pt idx="266">
                  <c:v>30.821038766053313</c:v>
                </c:pt>
                <c:pt idx="267">
                  <c:v>31.040504446577494</c:v>
                </c:pt>
                <c:pt idx="268">
                  <c:v>31.26053774998352</c:v>
                </c:pt>
                <c:pt idx="269">
                  <c:v>31.48113517103069</c:v>
                </c:pt>
                <c:pt idx="270">
                  <c:v>31.702293202155506</c:v>
                </c:pt>
                <c:pt idx="271">
                  <c:v>31.924008333542396</c:v>
                </c:pt>
                <c:pt idx="272">
                  <c:v>32.146277053193877</c:v>
                </c:pt>
                <c:pt idx="273">
                  <c:v>32.369095847000139</c:v>
                </c:pt>
                <c:pt idx="274">
                  <c:v>32.592461198808039</c:v>
                </c:pt>
                <c:pt idx="275">
                  <c:v>32.816369590489522</c:v>
                </c:pt>
                <c:pt idx="276">
                  <c:v>33.040817502009482</c:v>
                </c:pt>
                <c:pt idx="277">
                  <c:v>33.265801411493037</c:v>
                </c:pt>
                <c:pt idx="278">
                  <c:v>33.491317795292247</c:v>
                </c:pt>
                <c:pt idx="279">
                  <c:v>33.717363128052227</c:v>
                </c:pt>
                <c:pt idx="280">
                  <c:v>33.943933882776733</c:v>
                </c:pt>
                <c:pt idx="281">
                  <c:v>34.171026530893137</c:v>
                </c:pt>
                <c:pt idx="282">
                  <c:v>34.398637542316884</c:v>
                </c:pt>
                <c:pt idx="283">
                  <c:v>34.626763385515325</c:v>
                </c:pt>
                <c:pt idx="284">
                  <c:v>34.855400527571028</c:v>
                </c:pt>
                <c:pt idx="285">
                  <c:v>35.084545434244525</c:v>
                </c:pt>
                <c:pt idx="286">
                  <c:v>35.314194570036442</c:v>
                </c:pt>
                <c:pt idx="287">
                  <c:v>35.544344398249152</c:v>
                </c:pt>
                <c:pt idx="288">
                  <c:v>35.774991381047784</c:v>
                </c:pt>
                <c:pt idx="289">
                  <c:v>36.006131979520724</c:v>
                </c:pt>
                <c:pt idx="290">
                  <c:v>36.237762653739559</c:v>
                </c:pt>
                <c:pt idx="291">
                  <c:v>36.469879862818416</c:v>
                </c:pt>
                <c:pt idx="292">
                  <c:v>36.702480064972796</c:v>
                </c:pt>
                <c:pt idx="293">
                  <c:v>36.935559717577831</c:v>
                </c:pt>
                <c:pt idx="294">
                  <c:v>37.169115277225998</c:v>
                </c:pt>
                <c:pt idx="295">
                  <c:v>37.403143199784246</c:v>
                </c:pt>
                <c:pt idx="296">
                  <c:v>37.637639940450626</c:v>
                </c:pt>
                <c:pt idx="297">
                  <c:v>37.872601953810324</c:v>
                </c:pt>
                <c:pt idx="298">
                  <c:v>38.10802314377635</c:v>
                </c:pt>
                <c:pt idx="299">
                  <c:v>38.343892311859577</c:v>
                </c:pt>
                <c:pt idx="300">
                  <c:v>38.580195707975705</c:v>
                </c:pt>
                <c:pt idx="301">
                  <c:v>38.816919583084861</c:v>
                </c:pt>
                <c:pt idx="302">
                  <c:v>39.054050189568038</c:v>
                </c:pt>
                <c:pt idx="303">
                  <c:v>39.291573781596988</c:v>
                </c:pt>
                <c:pt idx="304">
                  <c:v>39.529476615497494</c:v>
                </c:pt>
                <c:pt idx="305">
                  <c:v>39.767744950106092</c:v>
                </c:pt>
                <c:pt idx="306">
                  <c:v>40.006365047120262</c:v>
                </c:pt>
                <c:pt idx="307">
                  <c:v>40.245323171442038</c:v>
                </c:pt>
                <c:pt idx="308">
                  <c:v>40.484605591515098</c:v>
                </c:pt>
                <c:pt idx="309">
                  <c:v>40.724198579655351</c:v>
                </c:pt>
                <c:pt idx="310">
                  <c:v>40.964088412374984</c:v>
                </c:pt>
                <c:pt idx="311">
                  <c:v>41.204261370700074</c:v>
                </c:pt>
                <c:pt idx="312">
                  <c:v>41.444703740481636</c:v>
                </c:pt>
                <c:pt idx="313">
                  <c:v>41.685401812700285</c:v>
                </c:pt>
                <c:pt idx="314">
                  <c:v>41.926341883764394</c:v>
                </c:pt>
                <c:pt idx="315">
                  <c:v>42.167510255801822</c:v>
                </c:pt>
                <c:pt idx="316">
                  <c:v>42.408893236945254</c:v>
                </c:pt>
                <c:pt idx="317">
                  <c:v>42.65047714161107</c:v>
                </c:pt>
                <c:pt idx="318">
                  <c:v>42.892248290771867</c:v>
                </c:pt>
                <c:pt idx="319">
                  <c:v>43.134193012222603</c:v>
                </c:pt>
                <c:pt idx="320">
                  <c:v>43.376297640840342</c:v>
                </c:pt>
                <c:pt idx="321">
                  <c:v>43.618549544197791</c:v>
                </c:pt>
                <c:pt idx="322">
                  <c:v>43.860938148199949</c:v>
                </c:pt>
                <c:pt idx="323">
                  <c:v>44.103453910734359</c:v>
                </c:pt>
                <c:pt idx="324">
                  <c:v>44.346087295225828</c:v>
                </c:pt>
                <c:pt idx="325">
                  <c:v>44.588828770746645</c:v>
                </c:pt>
                <c:pt idx="326">
                  <c:v>44.831668812123702</c:v>
                </c:pt>
                <c:pt idx="327">
                  <c:v>45.074597900042583</c:v>
                </c:pt>
                <c:pt idx="328">
                  <c:v>45.317606521148576</c:v>
                </c:pt>
                <c:pt idx="329">
                  <c:v>45.560685168144687</c:v>
                </c:pt>
                <c:pt idx="330">
                  <c:v>45.803824339886567</c:v>
                </c:pt>
                <c:pt idx="331">
                  <c:v>46.047014541474482</c:v>
                </c:pt>
                <c:pt idx="332">
                  <c:v>46.290246284342231</c:v>
                </c:pt>
                <c:pt idx="333">
                  <c:v>46.533510086343085</c:v>
                </c:pt>
                <c:pt idx="334">
                  <c:v>46.776796471832753</c:v>
                </c:pt>
                <c:pt idx="335">
                  <c:v>47.020095971749335</c:v>
                </c:pt>
                <c:pt idx="336">
                  <c:v>47.263399123690363</c:v>
                </c:pt>
                <c:pt idx="337">
                  <c:v>47.506696471986835</c:v>
                </c:pt>
                <c:pt idx="338">
                  <c:v>47.749978567774342</c:v>
                </c:pt>
                <c:pt idx="339">
                  <c:v>47.993235969061246</c:v>
                </c:pt>
                <c:pt idx="340">
                  <c:v>48.236459240793934</c:v>
                </c:pt>
                <c:pt idx="341">
                  <c:v>48.479638954919182</c:v>
                </c:pt>
                <c:pt idx="342">
                  <c:v>48.722765690443573</c:v>
                </c:pt>
                <c:pt idx="343">
                  <c:v>48.965830033490079</c:v>
                </c:pt>
                <c:pt idx="344">
                  <c:v>49.208822577351711</c:v>
                </c:pt>
                <c:pt idx="345">
                  <c:v>49.451733922542338</c:v>
                </c:pt>
                <c:pt idx="346">
                  <c:v>49.694554676844618</c:v>
                </c:pt>
                <c:pt idx="347">
                  <c:v>49.937275455355078</c:v>
                </c:pt>
                <c:pt idx="348">
                  <c:v>50.179886992497835</c:v>
                </c:pt>
                <c:pt idx="349">
                  <c:v>50.42238025399309</c:v>
                </c:pt>
                <c:pt idx="350">
                  <c:v>50.664746324723218</c:v>
                </c:pt>
                <c:pt idx="351">
                  <c:v>50.906976296635065</c:v>
                </c:pt>
                <c:pt idx="352">
                  <c:v>51.149061268764555</c:v>
                </c:pt>
                <c:pt idx="353">
                  <c:v>51.390992347258731</c:v>
                </c:pt>
                <c:pt idx="354">
                  <c:v>51.632760645395308</c:v>
                </c:pt>
                <c:pt idx="355">
                  <c:v>51.8743572835997</c:v>
                </c:pt>
                <c:pt idx="356">
                  <c:v>52.115773389459569</c:v>
                </c:pt>
                <c:pt idx="357">
                  <c:v>52.357000097736851</c:v>
                </c:pt>
                <c:pt idx="358">
                  <c:v>52.59802855037735</c:v>
                </c:pt>
                <c:pt idx="359">
                  <c:v>52.838849896517793</c:v>
                </c:pt>
                <c:pt idx="360">
                  <c:v>53.079457634144958</c:v>
                </c:pt>
                <c:pt idx="361">
                  <c:v>53.319849950574614</c:v>
                </c:pt>
                <c:pt idx="362">
                  <c:v>53.56002737627918</c:v>
                </c:pt>
                <c:pt idx="363">
                  <c:v>53.799990439896973</c:v>
                </c:pt>
                <c:pt idx="364">
                  <c:v>54.039739668240891</c:v>
                </c:pt>
                <c:pt idx="365">
                  <c:v>54.279275586307023</c:v>
                </c:pt>
                <c:pt idx="366">
                  <c:v>54.518598717283247</c:v>
                </c:pt>
                <c:pt idx="367">
                  <c:v>54.757709582557744</c:v>
                </c:pt>
                <c:pt idx="368">
                  <c:v>54.996608701727489</c:v>
                </c:pt>
                <c:pt idx="369">
                  <c:v>55.235296592606666</c:v>
                </c:pt>
                <c:pt idx="370">
                  <c:v>55.473773771235045</c:v>
                </c:pt>
                <c:pt idx="371">
                  <c:v>55.712040751886327</c:v>
                </c:pt>
                <c:pt idx="372">
                  <c:v>55.950098047076402</c:v>
                </c:pt>
                <c:pt idx="373">
                  <c:v>56.187946167571589</c:v>
                </c:pt>
                <c:pt idx="374">
                  <c:v>56.425585622396824</c:v>
                </c:pt>
                <c:pt idx="375">
                  <c:v>56.663016918843788</c:v>
                </c:pt>
                <c:pt idx="376">
                  <c:v>56.900240562478992</c:v>
                </c:pt>
                <c:pt idx="377">
                  <c:v>57.137257057151828</c:v>
                </c:pt>
                <c:pt idx="378">
                  <c:v>57.37406690500255</c:v>
                </c:pt>
                <c:pt idx="379">
                  <c:v>57.610670606470215</c:v>
                </c:pt>
                <c:pt idx="380">
                  <c:v>57.847068660300607</c:v>
                </c:pt>
                <c:pt idx="381">
                  <c:v>58.083261563554068</c:v>
                </c:pt>
                <c:pt idx="382">
                  <c:v>58.319249811613311</c:v>
                </c:pt>
                <c:pt idx="383">
                  <c:v>58.555033898191191</c:v>
                </c:pt>
                <c:pt idx="384">
                  <c:v>58.790614315338424</c:v>
                </c:pt>
                <c:pt idx="385">
                  <c:v>59.025991553451242</c:v>
                </c:pt>
                <c:pt idx="386">
                  <c:v>59.261166101279045</c:v>
                </c:pt>
                <c:pt idx="387">
                  <c:v>59.496138445931976</c:v>
                </c:pt>
                <c:pt idx="388">
                  <c:v>59.730909072888458</c:v>
                </c:pt>
                <c:pt idx="389">
                  <c:v>59.9654784660027</c:v>
                </c:pt>
                <c:pt idx="390">
                  <c:v>60.199847107512142</c:v>
                </c:pt>
                <c:pt idx="391">
                  <c:v>60.434015478044877</c:v>
                </c:pt>
                <c:pt idx="392">
                  <c:v>60.66798405662702</c:v>
                </c:pt>
                <c:pt idx="393">
                  <c:v>60.90175332069002</c:v>
                </c:pt>
                <c:pt idx="394">
                  <c:v>61.135323746077972</c:v>
                </c:pt>
                <c:pt idx="395">
                  <c:v>61.368695807054827</c:v>
                </c:pt>
                <c:pt idx="396">
                  <c:v>61.601869976311626</c:v>
                </c:pt>
                <c:pt idx="397">
                  <c:v>61.834846724973644</c:v>
                </c:pt>
                <c:pt idx="398">
                  <c:v>62.067626522607512</c:v>
                </c:pt>
                <c:pt idx="399">
                  <c:v>62.300209837228294</c:v>
                </c:pt>
                <c:pt idx="400">
                  <c:v>62.532597135306538</c:v>
                </c:pt>
                <c:pt idx="401">
                  <c:v>64.845725221300455</c:v>
                </c:pt>
                <c:pt idx="402">
                  <c:v>67.139551184664299</c:v>
                </c:pt>
                <c:pt idx="403">
                  <c:v>69.414527242658835</c:v>
                </c:pt>
                <c:pt idx="404">
                  <c:v>71.671091055478172</c:v>
                </c:pt>
                <c:pt idx="405">
                  <c:v>73.909666365261103</c:v>
                </c:pt>
                <c:pt idx="406">
                  <c:v>76.130663600306164</c:v>
                </c:pt>
                <c:pt idx="407">
                  <c:v>78.334480446755265</c:v>
                </c:pt>
                <c:pt idx="408">
                  <c:v>80.521502389839426</c:v>
                </c:pt>
                <c:pt idx="409">
                  <c:v>82.692103226624425</c:v>
                </c:pt>
                <c:pt idx="410">
                  <c:v>84.846645552050802</c:v>
                </c:pt>
                <c:pt idx="411">
                  <c:v>86.985481219931913</c:v>
                </c:pt>
                <c:pt idx="412">
                  <c:v>89.108951780453566</c:v>
                </c:pt>
                <c:pt idx="413">
                  <c:v>91.217388895608266</c:v>
                </c:pt>
                <c:pt idx="414">
                  <c:v>93.311114733896048</c:v>
                </c:pt>
                <c:pt idx="415">
                  <c:v>95.390442345530303</c:v>
                </c:pt>
                <c:pt idx="416">
                  <c:v>97.455676019301507</c:v>
                </c:pt>
                <c:pt idx="417">
                  <c:v>99.507111622172559</c:v>
                </c:pt>
                <c:pt idx="418">
                  <c:v>101.54503692260646</c:v>
                </c:pt>
                <c:pt idx="419">
                  <c:v>103.56973189855991</c:v>
                </c:pt>
                <c:pt idx="420">
                  <c:v>105.58146903101419</c:v>
                </c:pt>
                <c:pt idx="421">
                  <c:v>107.58051358385723</c:v>
                </c:pt>
                <c:pt idx="422">
                  <c:v>109.56712387087755</c:v>
                </c:pt>
                <c:pt idx="423">
                  <c:v>111.5415515105819</c:v>
                </c:pt>
                <c:pt idx="424">
                  <c:v>113.50404166950212</c:v>
                </c:pt>
                <c:pt idx="425">
                  <c:v>115.4548332946154</c:v>
                </c:pt>
                <c:pt idx="426">
                  <c:v>117.39415933546198</c:v>
                </c:pt>
                <c:pt idx="427">
                  <c:v>119.32224695650859</c:v>
                </c:pt>
                <c:pt idx="428">
                  <c:v>121.23931774027169</c:v>
                </c:pt>
                <c:pt idx="429">
                  <c:v>123.14558788168321</c:v>
                </c:pt>
                <c:pt idx="430">
                  <c:v>125.04126837415234</c:v>
                </c:pt>
                <c:pt idx="431">
                  <c:v>126.92656518774933</c:v>
                </c:pt>
                <c:pt idx="432">
                  <c:v>128.80167943991219</c:v>
                </c:pt>
                <c:pt idx="433">
                  <c:v>130.6668075590533</c:v>
                </c:pt>
                <c:pt idx="434">
                  <c:v>132.52214144142087</c:v>
                </c:pt>
                <c:pt idx="435">
                  <c:v>134.36786860154962</c:v>
                </c:pt>
                <c:pt idx="436">
                  <c:v>136.20417231661565</c:v>
                </c:pt>
                <c:pt idx="437">
                  <c:v>138.03123176499275</c:v>
                </c:pt>
                <c:pt idx="438">
                  <c:v>139.84922215929006</c:v>
                </c:pt>
                <c:pt idx="439">
                  <c:v>141.65831487413581</c:v>
                </c:pt>
                <c:pt idx="440">
                  <c:v>143.45867756895666</c:v>
                </c:pt>
                <c:pt idx="441">
                  <c:v>145.25047430598852</c:v>
                </c:pt>
                <c:pt idx="442">
                  <c:v>147.03386566374195</c:v>
                </c:pt>
                <c:pt idx="443">
                  <c:v>148.80900884613254</c:v>
                </c:pt>
                <c:pt idx="444">
                  <c:v>150.57605778747595</c:v>
                </c:pt>
                <c:pt idx="445">
                  <c:v>152.33516325353614</c:v>
                </c:pt>
                <c:pt idx="446">
                  <c:v>154.08647293880526</c:v>
                </c:pt>
                <c:pt idx="447">
                  <c:v>155.83013156018444</c:v>
                </c:pt>
                <c:pt idx="448">
                  <c:v>157.56628094722583</c:v>
                </c:pt>
                <c:pt idx="449">
                  <c:v>159.2950601290874</c:v>
                </c:pt>
                <c:pt idx="450">
                  <c:v>161.0166054183448</c:v>
                </c:pt>
                <c:pt idx="451">
                  <c:v>162.73105049179674</c:v>
                </c:pt>
                <c:pt idx="452">
                  <c:v>164.43852646839335</c:v>
                </c:pt>
                <c:pt idx="453">
                  <c:v>166.13916198441066</c:v>
                </c:pt>
                <c:pt idx="454">
                  <c:v>167.83308326598774</c:v>
                </c:pt>
                <c:pt idx="455">
                  <c:v>169.52041419913743</c:v>
                </c:pt>
                <c:pt idx="456">
                  <c:v>171.20127639733604</c:v>
                </c:pt>
                <c:pt idx="457">
                  <c:v>172.87578926679188</c:v>
                </c:pt>
                <c:pt idx="458">
                  <c:v>174.54407006948773</c:v>
                </c:pt>
                <c:pt idx="459">
                  <c:v>176.20623398408785</c:v>
                </c:pt>
                <c:pt idx="460">
                  <c:v>177.86239416479489</c:v>
                </c:pt>
                <c:pt idx="461">
                  <c:v>179.51266179823915</c:v>
                </c:pt>
                <c:pt idx="462">
                  <c:v>181.15714615847693</c:v>
                </c:pt>
                <c:pt idx="463">
                  <c:v>182.7959546601727</c:v>
                </c:pt>
                <c:pt idx="464">
                  <c:v>184.42919291003469</c:v>
                </c:pt>
                <c:pt idx="465">
                  <c:v>186.05696475657103</c:v>
                </c:pt>
                <c:pt idx="466">
                  <c:v>187.67937233822985</c:v>
                </c:pt>
                <c:pt idx="467">
                  <c:v>189.29651612998356</c:v>
                </c:pt>
                <c:pt idx="468">
                  <c:v>190.90849498841504</c:v>
                </c:pt>
                <c:pt idx="469">
                  <c:v>192.51540619535999</c:v>
                </c:pt>
                <c:pt idx="470">
                  <c:v>194.11734550015726</c:v>
                </c:pt>
                <c:pt idx="471">
                  <c:v>195.71440716055648</c:v>
                </c:pt>
                <c:pt idx="472">
                  <c:v>197.30668398232959</c:v>
                </c:pt>
                <c:pt idx="473">
                  <c:v>198.89426735763033</c:v>
                </c:pt>
                <c:pt idx="474">
                  <c:v>200.47724730214384</c:v>
                </c:pt>
                <c:pt idx="475">
                  <c:v>202.05571249106569</c:v>
                </c:pt>
                <c:pt idx="476">
                  <c:v>203.62975029394809</c:v>
                </c:pt>
                <c:pt idx="477">
                  <c:v>205.19944680844824</c:v>
                </c:pt>
                <c:pt idx="478">
                  <c:v>206.76488689301209</c:v>
                </c:pt>
                <c:pt idx="479">
                  <c:v>208.32615419852485</c:v>
                </c:pt>
                <c:pt idx="480">
                  <c:v>209.88333119895697</c:v>
                </c:pt>
                <c:pt idx="481">
                  <c:v>211.43649922103313</c:v>
                </c:pt>
                <c:pt idx="482">
                  <c:v>212.98573847294907</c:v>
                </c:pt>
                <c:pt idx="483">
                  <c:v>214.5311280721595</c:v>
                </c:pt>
                <c:pt idx="484">
                  <c:v>216.07274607225852</c:v>
                </c:pt>
                <c:pt idx="485">
                  <c:v>217.61066948897121</c:v>
                </c:pt>
                <c:pt idx="486">
                  <c:v>219.14497432527415</c:v>
                </c:pt>
                <c:pt idx="487">
                  <c:v>220.67573559565938</c:v>
                </c:pt>
                <c:pt idx="488">
                  <c:v>222.20302734955521</c:v>
                </c:pt>
                <c:pt idx="489">
                  <c:v>223.72692269391428</c:v>
                </c:pt>
                <c:pt idx="490">
                  <c:v>225.24749381497725</c:v>
                </c:pt>
                <c:pt idx="491">
                  <c:v>226.76481199921852</c:v>
                </c:pt>
                <c:pt idx="492">
                  <c:v>228.27894765347699</c:v>
                </c:pt>
                <c:pt idx="493">
                  <c:v>229.78997032427264</c:v>
                </c:pt>
                <c:pt idx="494">
                  <c:v>231.2979487163071</c:v>
                </c:pt>
                <c:pt idx="495">
                  <c:v>232.80295071014234</c:v>
                </c:pt>
                <c:pt idx="496">
                  <c:v>234.30504337904938</c:v>
                </c:pt>
                <c:pt idx="497">
                  <c:v>235.80429300501402</c:v>
                </c:pt>
                <c:pt idx="498">
                  <c:v>237.30076509388371</c:v>
                </c:pt>
                <c:pt idx="499">
                  <c:v>238.7945243896344</c:v>
                </c:pt>
                <c:pt idx="500">
                  <c:v>240.28563488773162</c:v>
                </c:pt>
                <c:pt idx="501">
                  <c:v>241.77415984755467</c:v>
                </c:pt>
                <c:pt idx="502">
                  <c:v>243.26016180384681</c:v>
                </c:pt>
                <c:pt idx="503">
                  <c:v>244.7437025771471</c:v>
                </c:pt>
                <c:pt idx="504">
                  <c:v>246.2248432831525</c:v>
                </c:pt>
                <c:pt idx="505">
                  <c:v>247.70364434095018</c:v>
                </c:pt>
                <c:pt idx="506">
                  <c:v>249.18016548005008</c:v>
                </c:pt>
                <c:pt idx="507">
                  <c:v>250.65446574613722</c:v>
                </c:pt>
                <c:pt idx="508">
                  <c:v>252.12660350545062</c:v>
                </c:pt>
                <c:pt idx="509">
                  <c:v>253.59663644768196</c:v>
                </c:pt>
                <c:pt idx="510">
                  <c:v>255.0646215872712</c:v>
                </c:pt>
                <c:pt idx="511">
                  <c:v>256.53061526295778</c:v>
                </c:pt>
                <c:pt idx="512">
                  <c:v>257.99467313542584</c:v>
                </c:pt>
                <c:pt idx="513">
                  <c:v>259.45685018285843</c:v>
                </c:pt>
                <c:pt idx="514">
                  <c:v>260.91720069418835</c:v>
                </c:pt>
                <c:pt idx="515">
                  <c:v>262.37577825980281</c:v>
                </c:pt>
                <c:pt idx="516">
                  <c:v>263.83263575942453</c:v>
                </c:pt>
                <c:pt idx="517">
                  <c:v>265.28782534685206</c:v>
                </c:pt>
                <c:pt idx="518">
                  <c:v>266.74139843119787</c:v>
                </c:pt>
                <c:pt idx="519">
                  <c:v>268.19340565421095</c:v>
                </c:pt>
                <c:pt idx="520">
                  <c:v>269.64389686321636</c:v>
                </c:pt>
                <c:pt idx="521">
                  <c:v>271.09292107913922</c:v>
                </c:pt>
                <c:pt idx="522">
                  <c:v>272.54052645901385</c:v>
                </c:pt>
                <c:pt idx="523">
                  <c:v>273.98676025230367</c:v>
                </c:pt>
                <c:pt idx="524">
                  <c:v>275.43166875027987</c:v>
                </c:pt>
                <c:pt idx="525">
                  <c:v>276.87529722762849</c:v>
                </c:pt>
                <c:pt idx="526">
                  <c:v>278.31768987537907</c:v>
                </c:pt>
                <c:pt idx="527">
                  <c:v>279.75888972418329</c:v>
                </c:pt>
                <c:pt idx="528">
                  <c:v>281.19893855692675</c:v>
                </c:pt>
                <c:pt idx="529">
                  <c:v>282.63787680964612</c:v>
                </c:pt>
                <c:pt idx="530">
                  <c:v>284.07574345976872</c:v>
                </c:pt>
                <c:pt idx="531">
                  <c:v>285.51257590081565</c:v>
                </c:pt>
                <c:pt idx="532">
                  <c:v>286.94840980294765</c:v>
                </c:pt>
                <c:pt idx="533">
                  <c:v>288.38327895912283</c:v>
                </c:pt>
                <c:pt idx="534">
                  <c:v>289.81721511721713</c:v>
                </c:pt>
                <c:pt idx="535">
                  <c:v>291.25024779927071</c:v>
                </c:pt>
                <c:pt idx="536">
                  <c:v>292.6824041100877</c:v>
                </c:pt>
                <c:pt idx="537">
                  <c:v>294.11370853872307</c:v>
                </c:pt>
                <c:pt idx="538">
                  <c:v>295.54418275787901</c:v>
                </c:pt>
                <c:pt idx="539">
                  <c:v>296.97384542777468</c:v>
                </c:pt>
                <c:pt idx="540">
                  <c:v>298.4027120124386</c:v>
                </c:pt>
                <c:pt idx="541">
                  <c:v>299.83079461732979</c:v>
                </c:pt>
                <c:pt idx="542">
                  <c:v>301.25810185743023</c:v>
                </c:pt>
                <c:pt idx="543">
                  <c:v>302.68463876422726</c:v>
                </c:pt>
                <c:pt idx="544">
                  <c:v>304.11040673822663</c:v>
                </c:pt>
                <c:pt idx="545">
                  <c:v>305.53540355092559</c:v>
                </c:pt>
                <c:pt idx="546">
                  <c:v>306.95962339686605</c:v>
                </c:pt>
                <c:pt idx="547">
                  <c:v>308.3830569929803</c:v>
                </c:pt>
                <c:pt idx="548">
                  <c:v>309.80569171945507</c:v>
                </c:pt>
                <c:pt idx="549">
                  <c:v>311.22751179418839</c:v>
                </c:pt>
                <c:pt idx="550">
                  <c:v>312.64849847179971</c:v>
                </c:pt>
                <c:pt idx="551">
                  <c:v>314.0686302580628</c:v>
                </c:pt>
                <c:pt idx="552">
                  <c:v>315.48788313136282</c:v>
                </c:pt>
                <c:pt idx="553">
                  <c:v>316.90623076405427</c:v>
                </c:pt>
                <c:pt idx="554">
                  <c:v>318.32364473812117</c:v>
                </c:pt>
                <c:pt idx="555">
                  <c:v>319.74009475108301</c:v>
                </c:pt>
                <c:pt idx="556">
                  <c:v>321.15554880948389</c:v>
                </c:pt>
                <c:pt idx="557">
                  <c:v>322.56997340846823</c:v>
                </c:pt>
                <c:pt idx="558">
                  <c:v>323.98333369685326</c:v>
                </c:pt>
                <c:pt idx="559">
                  <c:v>325.39559362777578</c:v>
                </c:pt>
                <c:pt idx="560">
                  <c:v>326.80671609544459</c:v>
                </c:pt>
                <c:pt idx="561">
                  <c:v>328.21666305881848</c:v>
                </c:pt>
                <c:pt idx="562">
                  <c:v>329.625395653189</c:v>
                </c:pt>
                <c:pt idx="563">
                  <c:v>331.03287429071486</c:v>
                </c:pt>
                <c:pt idx="564">
                  <c:v>332.43905875095828</c:v>
                </c:pt>
                <c:pt idx="565">
                  <c:v>333.84390826243674</c:v>
                </c:pt>
                <c:pt idx="566">
                  <c:v>335.24738157614178</c:v>
                </c:pt>
                <c:pt idx="567">
                  <c:v>336.64943703190039</c:v>
                </c:pt>
                <c:pt idx="568">
                  <c:v>338.05003261837527</c:v>
                </c:pt>
                <c:pt idx="569">
                  <c:v>339.4491260274196</c:v>
                </c:pt>
                <c:pt idx="570">
                  <c:v>340.84667470342407</c:v>
                </c:pt>
                <c:pt idx="571">
                  <c:v>342.24263588822419</c:v>
                </c:pt>
                <c:pt idx="572">
                  <c:v>343.63696666206755</c:v>
                </c:pt>
                <c:pt idx="573">
                  <c:v>345.02962398108417</c:v>
                </c:pt>
                <c:pt idx="574">
                  <c:v>346.42056471164705</c:v>
                </c:pt>
                <c:pt idx="575">
                  <c:v>347.80974566196613</c:v>
                </c:pt>
                <c:pt idx="576">
                  <c:v>349.19712361121447</c:v>
                </c:pt>
                <c:pt idx="577">
                  <c:v>350.58265533645061</c:v>
                </c:pt>
                <c:pt idx="578">
                  <c:v>351.96629763756908</c:v>
                </c:pt>
                <c:pt idx="579">
                  <c:v>353.34800736048152</c:v>
                </c:pt>
                <c:pt idx="580">
                  <c:v>354.72774141870826</c:v>
                </c:pt>
                <c:pt idx="581">
                  <c:v>356.10545681353727</c:v>
                </c:pt>
                <c:pt idx="582">
                  <c:v>357.48111065288975</c:v>
                </c:pt>
                <c:pt idx="583">
                  <c:v>358.85466016901427</c:v>
                </c:pt>
                <c:pt idx="584">
                  <c:v>360.22606273511803</c:v>
                </c:pt>
                <c:pt idx="585">
                  <c:v>361.59527588103106</c:v>
                </c:pt>
                <c:pt idx="586">
                  <c:v>362.96225730798722</c:v>
                </c:pt>
                <c:pt idx="587">
                  <c:v>364.32696490259843</c:v>
                </c:pt>
                <c:pt idx="588">
                  <c:v>365.68935675008771</c:v>
                </c:pt>
                <c:pt idx="589">
                  <c:v>367.04939114684095</c:v>
                </c:pt>
                <c:pt idx="590">
                  <c:v>368.4070266123303</c:v>
                </c:pt>
                <c:pt idx="591">
                  <c:v>369.76222190045604</c:v>
                </c:pt>
                <c:pt idx="592">
                  <c:v>371.11493601034942</c:v>
                </c:pt>
                <c:pt idx="593">
                  <c:v>372.4651281966739</c:v>
                </c:pt>
                <c:pt idx="594">
                  <c:v>373.81275797945847</c:v>
                </c:pt>
                <c:pt idx="595">
                  <c:v>375.15778515349371</c:v>
                </c:pt>
                <c:pt idx="596">
                  <c:v>376.50016979731748</c:v>
                </c:pt>
                <c:pt idx="597">
                  <c:v>377.83987228181491</c:v>
                </c:pt>
                <c:pt idx="598">
                  <c:v>379.17685327845459</c:v>
                </c:pt>
                <c:pt idx="599">
                  <c:v>380.51107376718113</c:v>
                </c:pt>
                <c:pt idx="600">
                  <c:v>381.84249504398178</c:v>
                </c:pt>
                <c:pt idx="601">
                  <c:v>383.17107872814375</c:v>
                </c:pt>
                <c:pt idx="602">
                  <c:v>384.4967867692169</c:v>
                </c:pt>
                <c:pt idx="603">
                  <c:v>385.81958145369504</c:v>
                </c:pt>
                <c:pt idx="604">
                  <c:v>387.13942541142814</c:v>
                </c:pt>
                <c:pt idx="605">
                  <c:v>388.45628162177701</c:v>
                </c:pt>
                <c:pt idx="606">
                  <c:v>389.77011341951976</c:v>
                </c:pt>
                <c:pt idx="607">
                  <c:v>391.08088450052026</c:v>
                </c:pt>
                <c:pt idx="608">
                  <c:v>392.38855892716617</c:v>
                </c:pt>
                <c:pt idx="609">
                  <c:v>393.69310113358546</c:v>
                </c:pt>
                <c:pt idx="610">
                  <c:v>394.9944759306473</c:v>
                </c:pt>
                <c:pt idx="611">
                  <c:v>396.29264851075516</c:v>
                </c:pt>
                <c:pt idx="612">
                  <c:v>397.58758445243757</c:v>
                </c:pt>
                <c:pt idx="613">
                  <c:v>398.87924972474195</c:v>
                </c:pt>
                <c:pt idx="614">
                  <c:v>400.16761069143786</c:v>
                </c:pt>
                <c:pt idx="615">
                  <c:v>401.45263411503299</c:v>
                </c:pt>
                <c:pt idx="616">
                  <c:v>402.73428716060795</c:v>
                </c:pt>
                <c:pt idx="617">
                  <c:v>404.01253739947316</c:v>
                </c:pt>
                <c:pt idx="618">
                  <c:v>405.28735281265199</c:v>
                </c:pt>
                <c:pt idx="619">
                  <c:v>406.55870179419423</c:v>
                </c:pt>
                <c:pt idx="620">
                  <c:v>407.82655315432311</c:v>
                </c:pt>
                <c:pt idx="621">
                  <c:v>409.09087612241916</c:v>
                </c:pt>
                <c:pt idx="622">
                  <c:v>410.35164034984433</c:v>
                </c:pt>
                <c:pt idx="623">
                  <c:v>411.60881591260926</c:v>
                </c:pt>
                <c:pt idx="624">
                  <c:v>412.86237331388634</c:v>
                </c:pt>
                <c:pt idx="625">
                  <c:v>414.11228348637161</c:v>
                </c:pt>
                <c:pt idx="626">
                  <c:v>415.35851779449803</c:v>
                </c:pt>
                <c:pt idx="627">
                  <c:v>416.60104803650233</c:v>
                </c:pt>
                <c:pt idx="628">
                  <c:v>417.83984644634847</c:v>
                </c:pt>
                <c:pt idx="629">
                  <c:v>419.07488569550941</c:v>
                </c:pt>
                <c:pt idx="630">
                  <c:v>420.30613889460989</c:v>
                </c:pt>
                <c:pt idx="631">
                  <c:v>421.53357959493229</c:v>
                </c:pt>
                <c:pt idx="632">
                  <c:v>422.75718178978769</c:v>
                </c:pt>
                <c:pt idx="633">
                  <c:v>423.97691991575419</c:v>
                </c:pt>
                <c:pt idx="634">
                  <c:v>425.19276885378468</c:v>
                </c:pt>
                <c:pt idx="635">
                  <c:v>426.40470393018592</c:v>
                </c:pt>
                <c:pt idx="636">
                  <c:v>427.61270091747099</c:v>
                </c:pt>
                <c:pt idx="637">
                  <c:v>428.81673603508727</c:v>
                </c:pt>
                <c:pt idx="638">
                  <c:v>430.01678595002119</c:v>
                </c:pt>
                <c:pt idx="639">
                  <c:v>431.21282777728243</c:v>
                </c:pt>
                <c:pt idx="640">
                  <c:v>432.40483908026897</c:v>
                </c:pt>
                <c:pt idx="641">
                  <c:v>433.59279787101508</c:v>
                </c:pt>
                <c:pt idx="642">
                  <c:v>434.7766826103238</c:v>
                </c:pt>
                <c:pt idx="643">
                  <c:v>435.95647220778619</c:v>
                </c:pt>
                <c:pt idx="644">
                  <c:v>437.13214602168853</c:v>
                </c:pt>
                <c:pt idx="645">
                  <c:v>438.30368385880996</c:v>
                </c:pt>
                <c:pt idx="646">
                  <c:v>439.47106597411192</c:v>
                </c:pt>
                <c:pt idx="647">
                  <c:v>440.63427307032129</c:v>
                </c:pt>
                <c:pt idx="648">
                  <c:v>441.79328629740894</c:v>
                </c:pt>
                <c:pt idx="649">
                  <c:v>442.94808725196566</c:v>
                </c:pt>
                <c:pt idx="650">
                  <c:v>444.09865797647706</c:v>
                </c:pt>
                <c:pt idx="651">
                  <c:v>445.24498095849924</c:v>
                </c:pt>
                <c:pt idx="652">
                  <c:v>446.38703912973727</c:v>
                </c:pt>
                <c:pt idx="653">
                  <c:v>447.52481586502756</c:v>
                </c:pt>
                <c:pt idx="654">
                  <c:v>448.65829498122679</c:v>
                </c:pt>
                <c:pt idx="655">
                  <c:v>449.78746073600848</c:v>
                </c:pt>
                <c:pt idx="656">
                  <c:v>450.91229782656916</c:v>
                </c:pt>
                <c:pt idx="657">
                  <c:v>452.03279138824598</c:v>
                </c:pt>
                <c:pt idx="658">
                  <c:v>453.1489269930475</c:v>
                </c:pt>
                <c:pt idx="659">
                  <c:v>454.26069064809923</c:v>
                </c:pt>
                <c:pt idx="660">
                  <c:v>455.36806879400615</c:v>
                </c:pt>
                <c:pt idx="661">
                  <c:v>456.47104830313305</c:v>
                </c:pt>
                <c:pt idx="662">
                  <c:v>457.56961647780565</c:v>
                </c:pt>
                <c:pt idx="663">
                  <c:v>458.66376104843329</c:v>
                </c:pt>
                <c:pt idx="664">
                  <c:v>459.75347017155514</c:v>
                </c:pt>
                <c:pt idx="665">
                  <c:v>460.83873242781209</c:v>
                </c:pt>
                <c:pt idx="666">
                  <c:v>461.91953681984569</c:v>
                </c:pt>
                <c:pt idx="667">
                  <c:v>462.99587277012574</c:v>
                </c:pt>
                <c:pt idx="668">
                  <c:v>464.06773011870882</c:v>
                </c:pt>
                <c:pt idx="669">
                  <c:v>465.13509912092877</c:v>
                </c:pt>
                <c:pt idx="670">
                  <c:v>466.1979704450215</c:v>
                </c:pt>
                <c:pt idx="671">
                  <c:v>467.25633516968549</c:v>
                </c:pt>
                <c:pt idx="672">
                  <c:v>468.31018478157961</c:v>
                </c:pt>
                <c:pt idx="673">
                  <c:v>469.35951117276039</c:v>
                </c:pt>
                <c:pt idx="674">
                  <c:v>470.40430663805989</c:v>
                </c:pt>
                <c:pt idx="675">
                  <c:v>471.44456387240638</c:v>
                </c:pt>
                <c:pt idx="676">
                  <c:v>472.48027596808913</c:v>
                </c:pt>
                <c:pt idx="677">
                  <c:v>473.51143641196921</c:v>
                </c:pt>
                <c:pt idx="678">
                  <c:v>474.53803908263785</c:v>
                </c:pt>
                <c:pt idx="679">
                  <c:v>475.56007824752402</c:v>
                </c:pt>
                <c:pt idx="680">
                  <c:v>476.57754855995302</c:v>
                </c:pt>
                <c:pt idx="681">
                  <c:v>477.59044505615759</c:v>
                </c:pt>
                <c:pt idx="682">
                  <c:v>478.59876315224324</c:v>
                </c:pt>
                <c:pt idx="683">
                  <c:v>479.60249864110926</c:v>
                </c:pt>
                <c:pt idx="684">
                  <c:v>480.60164768932719</c:v>
                </c:pt>
                <c:pt idx="685">
                  <c:v>481.59620683397844</c:v>
                </c:pt>
                <c:pt idx="686">
                  <c:v>482.58617297945216</c:v>
                </c:pt>
                <c:pt idx="687">
                  <c:v>483.57154339420572</c:v>
                </c:pt>
                <c:pt idx="688">
                  <c:v>484.55231570748845</c:v>
                </c:pt>
                <c:pt idx="689">
                  <c:v>485.52848790603099</c:v>
                </c:pt>
                <c:pt idx="690">
                  <c:v>486.50005833070117</c:v>
                </c:pt>
                <c:pt idx="691">
                  <c:v>487.46702567312832</c:v>
                </c:pt>
                <c:pt idx="692">
                  <c:v>488.42938897229737</c:v>
                </c:pt>
                <c:pt idx="693">
                  <c:v>489.38714761111419</c:v>
                </c:pt>
                <c:pt idx="694">
                  <c:v>490.34030131294372</c:v>
                </c:pt>
                <c:pt idx="695">
                  <c:v>491.28885013812226</c:v>
                </c:pt>
                <c:pt idx="696">
                  <c:v>492.23279448044542</c:v>
                </c:pt>
                <c:pt idx="697">
                  <c:v>493.17213506363316</c:v>
                </c:pt>
                <c:pt idx="698">
                  <c:v>494.10687293777323</c:v>
                </c:pt>
                <c:pt idx="699">
                  <c:v>495.03700947574453</c:v>
                </c:pt>
                <c:pt idx="700">
                  <c:v>495.96254636962158</c:v>
                </c:pt>
                <c:pt idx="701">
                  <c:v>496.88348562706159</c:v>
                </c:pt>
                <c:pt idx="702">
                  <c:v>497.79982956767549</c:v>
                </c:pt>
                <c:pt idx="703">
                  <c:v>498.7115808193841</c:v>
                </c:pt>
                <c:pt idx="704">
                  <c:v>499.61874231476082</c:v>
                </c:pt>
                <c:pt idx="705">
                  <c:v>500.52131728736208</c:v>
                </c:pt>
                <c:pt idx="706">
                  <c:v>501.41930926804685</c:v>
                </c:pt>
                <c:pt idx="707">
                  <c:v>502.31272208128627</c:v>
                </c:pt>
                <c:pt idx="708">
                  <c:v>503.20155984146504</c:v>
                </c:pt>
                <c:pt idx="709">
                  <c:v>504.08582694917527</c:v>
                </c:pt>
                <c:pt idx="710">
                  <c:v>504.96552808750425</c:v>
                </c:pt>
                <c:pt idx="711">
                  <c:v>505.84066821831721</c:v>
                </c:pt>
                <c:pt idx="712">
                  <c:v>506.71125257853629</c:v>
                </c:pt>
                <c:pt idx="713">
                  <c:v>507.5772866764168</c:v>
                </c:pt>
                <c:pt idx="714">
                  <c:v>508.43877628782172</c:v>
                </c:pt>
                <c:pt idx="715">
                  <c:v>509.29572745249578</c:v>
                </c:pt>
                <c:pt idx="716">
                  <c:v>510.14814647033984</c:v>
                </c:pt>
                <c:pt idx="717">
                  <c:v>510.99603989768713</c:v>
                </c:pt>
                <c:pt idx="718">
                  <c:v>511.83941454358177</c:v>
                </c:pt>
                <c:pt idx="719">
                  <c:v>512.67827746606088</c:v>
                </c:pt>
                <c:pt idx="720">
                  <c:v>513.51263596844126</c:v>
                </c:pt>
                <c:pt idx="721">
                  <c:v>514.34249759561158</c:v>
                </c:pt>
                <c:pt idx="722">
                  <c:v>515.16787013033081</c:v>
                </c:pt>
                <c:pt idx="723">
                  <c:v>515.98876158953419</c:v>
                </c:pt>
                <c:pt idx="724">
                  <c:v>516.80518022064712</c:v>
                </c:pt>
                <c:pt idx="725">
                  <c:v>517.61713449790852</c:v>
                </c:pt>
                <c:pt idx="726">
                  <c:v>518.4246331187037</c:v>
                </c:pt>
                <c:pt idx="727">
                  <c:v>519.22768499990821</c:v>
                </c:pt>
                <c:pt idx="728">
                  <c:v>520.02629927424312</c:v>
                </c:pt>
                <c:pt idx="729">
                  <c:v>520.82048528664291</c:v>
                </c:pt>
                <c:pt idx="730">
                  <c:v>521.61025259063615</c:v>
                </c:pt>
                <c:pt idx="731">
                  <c:v>522.39561094474038</c:v>
                </c:pt>
                <c:pt idx="732">
                  <c:v>523.17657030887131</c:v>
                </c:pt>
                <c:pt idx="733">
                  <c:v>523.95314084076733</c:v>
                </c:pt>
                <c:pt idx="734">
                  <c:v>524.72533289243029</c:v>
                </c:pt>
                <c:pt idx="735">
                  <c:v>525.49315700658269</c:v>
                </c:pt>
                <c:pt idx="736">
                  <c:v>526.25662391314222</c:v>
                </c:pt>
                <c:pt idx="737">
                  <c:v>527.01574452571413</c:v>
                </c:pt>
                <c:pt idx="738">
                  <c:v>527.77052993810264</c:v>
                </c:pt>
                <c:pt idx="739">
                  <c:v>528.5209914208408</c:v>
                </c:pt>
                <c:pt idx="740">
                  <c:v>529.26714041774051</c:v>
                </c:pt>
                <c:pt idx="741">
                  <c:v>530.00898854246282</c:v>
                </c:pt>
                <c:pt idx="742">
                  <c:v>530.74654757510882</c:v>
                </c:pt>
                <c:pt idx="743">
                  <c:v>531.47982945883177</c:v>
                </c:pt>
                <c:pt idx="744">
                  <c:v>532.20884629647139</c:v>
                </c:pt>
                <c:pt idx="745">
                  <c:v>532.93361034721033</c:v>
                </c:pt>
                <c:pt idx="746">
                  <c:v>533.65413402325316</c:v>
                </c:pt>
                <c:pt idx="747">
                  <c:v>534.37042988652877</c:v>
                </c:pt>
                <c:pt idx="748">
                  <c:v>535.08251064541639</c:v>
                </c:pt>
                <c:pt idx="749">
                  <c:v>535.79038915149567</c:v>
                </c:pt>
                <c:pt idx="750">
                  <c:v>536.49407839632113</c:v>
                </c:pt>
                <c:pt idx="751">
                  <c:v>537.1935915082214</c:v>
                </c:pt>
                <c:pt idx="752">
                  <c:v>537.88894174912377</c:v>
                </c:pt>
                <c:pt idx="753">
                  <c:v>538.58014251140389</c:v>
                </c:pt>
                <c:pt idx="754">
                  <c:v>539.267207314762</c:v>
                </c:pt>
                <c:pt idx="755">
                  <c:v>539.267207314762</c:v>
                </c:pt>
                <c:pt idx="756">
                  <c:v>539.267207314762</c:v>
                </c:pt>
                <c:pt idx="757">
                  <c:v>539.267207314762</c:v>
                </c:pt>
                <c:pt idx="758">
                  <c:v>539.267207314762</c:v>
                </c:pt>
                <c:pt idx="759">
                  <c:v>539.267207314762</c:v>
                </c:pt>
                <c:pt idx="760">
                  <c:v>539.267207314762</c:v>
                </c:pt>
                <c:pt idx="761">
                  <c:v>539.267207314762</c:v>
                </c:pt>
                <c:pt idx="762">
                  <c:v>539.267207314762</c:v>
                </c:pt>
                <c:pt idx="763">
                  <c:v>539.267207314762</c:v>
                </c:pt>
                <c:pt idx="764">
                  <c:v>539.267207314762</c:v>
                </c:pt>
                <c:pt idx="765">
                  <c:v>539.267207314762</c:v>
                </c:pt>
                <c:pt idx="766">
                  <c:v>539.267207314762</c:v>
                </c:pt>
                <c:pt idx="767">
                  <c:v>539.267207314762</c:v>
                </c:pt>
                <c:pt idx="768">
                  <c:v>539.267207314762</c:v>
                </c:pt>
                <c:pt idx="769">
                  <c:v>539.267207314762</c:v>
                </c:pt>
                <c:pt idx="770">
                  <c:v>539.267207314762</c:v>
                </c:pt>
                <c:pt idx="771">
                  <c:v>539.267207314762</c:v>
                </c:pt>
                <c:pt idx="772">
                  <c:v>539.267207314762</c:v>
                </c:pt>
                <c:pt idx="773">
                  <c:v>539.267207314762</c:v>
                </c:pt>
                <c:pt idx="774">
                  <c:v>539.267207314762</c:v>
                </c:pt>
                <c:pt idx="775">
                  <c:v>539.267207314762</c:v>
                </c:pt>
                <c:pt idx="776">
                  <c:v>539.267207314762</c:v>
                </c:pt>
                <c:pt idx="777">
                  <c:v>539.267207314762</c:v>
                </c:pt>
                <c:pt idx="778">
                  <c:v>539.267207314762</c:v>
                </c:pt>
                <c:pt idx="779">
                  <c:v>539.267207314762</c:v>
                </c:pt>
                <c:pt idx="780">
                  <c:v>539.267207314762</c:v>
                </c:pt>
                <c:pt idx="781">
                  <c:v>539.267207314762</c:v>
                </c:pt>
                <c:pt idx="782">
                  <c:v>539.267207314762</c:v>
                </c:pt>
                <c:pt idx="783">
                  <c:v>539.267207314762</c:v>
                </c:pt>
                <c:pt idx="784">
                  <c:v>539.267207314762</c:v>
                </c:pt>
                <c:pt idx="785">
                  <c:v>539.267207314762</c:v>
                </c:pt>
                <c:pt idx="786">
                  <c:v>539.267207314762</c:v>
                </c:pt>
                <c:pt idx="787">
                  <c:v>539.267207314762</c:v>
                </c:pt>
                <c:pt idx="788">
                  <c:v>539.267207314762</c:v>
                </c:pt>
                <c:pt idx="789">
                  <c:v>539.267207314762</c:v>
                </c:pt>
                <c:pt idx="790">
                  <c:v>539.267207314762</c:v>
                </c:pt>
                <c:pt idx="791">
                  <c:v>539.267207314762</c:v>
                </c:pt>
                <c:pt idx="792">
                  <c:v>539.267207314762</c:v>
                </c:pt>
                <c:pt idx="793">
                  <c:v>539.267207314762</c:v>
                </c:pt>
                <c:pt idx="794">
                  <c:v>539.267207314762</c:v>
                </c:pt>
                <c:pt idx="795">
                  <c:v>539.267207314762</c:v>
                </c:pt>
                <c:pt idx="796">
                  <c:v>539.267207314762</c:v>
                </c:pt>
                <c:pt idx="797">
                  <c:v>539.267207314762</c:v>
                </c:pt>
                <c:pt idx="798">
                  <c:v>539.267207314762</c:v>
                </c:pt>
                <c:pt idx="799">
                  <c:v>539.267207314762</c:v>
                </c:pt>
                <c:pt idx="800">
                  <c:v>539.267207314762</c:v>
                </c:pt>
                <c:pt idx="801">
                  <c:v>539.267207314762</c:v>
                </c:pt>
                <c:pt idx="802">
                  <c:v>539.267207314762</c:v>
                </c:pt>
                <c:pt idx="803">
                  <c:v>539.267207314762</c:v>
                </c:pt>
                <c:pt idx="804">
                  <c:v>539.267207314762</c:v>
                </c:pt>
                <c:pt idx="805">
                  <c:v>539.267207314762</c:v>
                </c:pt>
                <c:pt idx="806">
                  <c:v>539.267207314762</c:v>
                </c:pt>
                <c:pt idx="807">
                  <c:v>539.267207314762</c:v>
                </c:pt>
                <c:pt idx="808">
                  <c:v>539.267207314762</c:v>
                </c:pt>
                <c:pt idx="809">
                  <c:v>539.267207314762</c:v>
                </c:pt>
                <c:pt idx="810">
                  <c:v>539.267207314762</c:v>
                </c:pt>
                <c:pt idx="811">
                  <c:v>539.267207314762</c:v>
                </c:pt>
                <c:pt idx="812">
                  <c:v>539.267207314762</c:v>
                </c:pt>
                <c:pt idx="813">
                  <c:v>539.267207314762</c:v>
                </c:pt>
                <c:pt idx="814">
                  <c:v>539.267207314762</c:v>
                </c:pt>
                <c:pt idx="815">
                  <c:v>539.267207314762</c:v>
                </c:pt>
                <c:pt idx="816">
                  <c:v>539.267207314762</c:v>
                </c:pt>
                <c:pt idx="817">
                  <c:v>539.267207314762</c:v>
                </c:pt>
                <c:pt idx="818">
                  <c:v>539.267207314762</c:v>
                </c:pt>
                <c:pt idx="819">
                  <c:v>539.267207314762</c:v>
                </c:pt>
                <c:pt idx="820">
                  <c:v>539.267207314762</c:v>
                </c:pt>
                <c:pt idx="821">
                  <c:v>539.267207314762</c:v>
                </c:pt>
                <c:pt idx="822">
                  <c:v>539.267207314762</c:v>
                </c:pt>
                <c:pt idx="823">
                  <c:v>539.267207314762</c:v>
                </c:pt>
                <c:pt idx="824">
                  <c:v>539.267207314762</c:v>
                </c:pt>
                <c:pt idx="825">
                  <c:v>539.267207314762</c:v>
                </c:pt>
                <c:pt idx="826">
                  <c:v>539.267207314762</c:v>
                </c:pt>
                <c:pt idx="827">
                  <c:v>539.267207314762</c:v>
                </c:pt>
                <c:pt idx="828">
                  <c:v>539.267207314762</c:v>
                </c:pt>
                <c:pt idx="829">
                  <c:v>539.267207314762</c:v>
                </c:pt>
                <c:pt idx="830">
                  <c:v>539.267207314762</c:v>
                </c:pt>
                <c:pt idx="831">
                  <c:v>539.267207314762</c:v>
                </c:pt>
                <c:pt idx="832">
                  <c:v>539.267207314762</c:v>
                </c:pt>
                <c:pt idx="833">
                  <c:v>539.267207314762</c:v>
                </c:pt>
                <c:pt idx="834">
                  <c:v>539.267207314762</c:v>
                </c:pt>
                <c:pt idx="835">
                  <c:v>539.267207314762</c:v>
                </c:pt>
                <c:pt idx="836">
                  <c:v>539.267207314762</c:v>
                </c:pt>
                <c:pt idx="837">
                  <c:v>539.267207314762</c:v>
                </c:pt>
                <c:pt idx="838">
                  <c:v>539.267207314762</c:v>
                </c:pt>
                <c:pt idx="839">
                  <c:v>539.267207314762</c:v>
                </c:pt>
                <c:pt idx="840">
                  <c:v>539.267207314762</c:v>
                </c:pt>
                <c:pt idx="841">
                  <c:v>539.267207314762</c:v>
                </c:pt>
                <c:pt idx="842">
                  <c:v>539.267207314762</c:v>
                </c:pt>
                <c:pt idx="843">
                  <c:v>539.267207314762</c:v>
                </c:pt>
                <c:pt idx="844">
                  <c:v>539.267207314762</c:v>
                </c:pt>
                <c:pt idx="845">
                  <c:v>539.267207314762</c:v>
                </c:pt>
                <c:pt idx="846">
                  <c:v>539.267207314762</c:v>
                </c:pt>
                <c:pt idx="847">
                  <c:v>539.267207314762</c:v>
                </c:pt>
                <c:pt idx="848">
                  <c:v>539.267207314762</c:v>
                </c:pt>
                <c:pt idx="849">
                  <c:v>539.267207314762</c:v>
                </c:pt>
                <c:pt idx="850">
                  <c:v>539.267207314762</c:v>
                </c:pt>
                <c:pt idx="851">
                  <c:v>539.267207314762</c:v>
                </c:pt>
                <c:pt idx="852">
                  <c:v>539.267207314762</c:v>
                </c:pt>
                <c:pt idx="853">
                  <c:v>539.267207314762</c:v>
                </c:pt>
                <c:pt idx="854">
                  <c:v>539.267207314762</c:v>
                </c:pt>
                <c:pt idx="855">
                  <c:v>539.267207314762</c:v>
                </c:pt>
                <c:pt idx="856">
                  <c:v>539.267207314762</c:v>
                </c:pt>
                <c:pt idx="857">
                  <c:v>539.267207314762</c:v>
                </c:pt>
                <c:pt idx="858">
                  <c:v>539.267207314762</c:v>
                </c:pt>
                <c:pt idx="859">
                  <c:v>539.267207314762</c:v>
                </c:pt>
                <c:pt idx="860">
                  <c:v>539.267207314762</c:v>
                </c:pt>
                <c:pt idx="861">
                  <c:v>539.267207314762</c:v>
                </c:pt>
                <c:pt idx="862">
                  <c:v>539.267207314762</c:v>
                </c:pt>
                <c:pt idx="863">
                  <c:v>539.267207314762</c:v>
                </c:pt>
                <c:pt idx="864">
                  <c:v>539.267207314762</c:v>
                </c:pt>
                <c:pt idx="865">
                  <c:v>539.267207314762</c:v>
                </c:pt>
                <c:pt idx="866">
                  <c:v>539.267207314762</c:v>
                </c:pt>
                <c:pt idx="867">
                  <c:v>539.267207314762</c:v>
                </c:pt>
                <c:pt idx="868">
                  <c:v>539.267207314762</c:v>
                </c:pt>
                <c:pt idx="869">
                  <c:v>539.267207314762</c:v>
                </c:pt>
                <c:pt idx="870">
                  <c:v>539.267207314762</c:v>
                </c:pt>
                <c:pt idx="871">
                  <c:v>539.267207314762</c:v>
                </c:pt>
                <c:pt idx="872">
                  <c:v>539.267207314762</c:v>
                </c:pt>
                <c:pt idx="873">
                  <c:v>539.267207314762</c:v>
                </c:pt>
                <c:pt idx="874">
                  <c:v>539.267207314762</c:v>
                </c:pt>
                <c:pt idx="875">
                  <c:v>539.267207314762</c:v>
                </c:pt>
                <c:pt idx="876">
                  <c:v>539.267207314762</c:v>
                </c:pt>
                <c:pt idx="877">
                  <c:v>539.267207314762</c:v>
                </c:pt>
                <c:pt idx="878">
                  <c:v>539.267207314762</c:v>
                </c:pt>
                <c:pt idx="879">
                  <c:v>539.267207314762</c:v>
                </c:pt>
                <c:pt idx="880">
                  <c:v>539.267207314762</c:v>
                </c:pt>
                <c:pt idx="881">
                  <c:v>539.267207314762</c:v>
                </c:pt>
                <c:pt idx="882">
                  <c:v>539.267207314762</c:v>
                </c:pt>
                <c:pt idx="883">
                  <c:v>539.267207314762</c:v>
                </c:pt>
                <c:pt idx="884">
                  <c:v>539.267207314762</c:v>
                </c:pt>
                <c:pt idx="885">
                  <c:v>539.267207314762</c:v>
                </c:pt>
                <c:pt idx="886">
                  <c:v>539.267207314762</c:v>
                </c:pt>
                <c:pt idx="887">
                  <c:v>539.267207314762</c:v>
                </c:pt>
                <c:pt idx="888">
                  <c:v>539.267207314762</c:v>
                </c:pt>
                <c:pt idx="889">
                  <c:v>539.267207314762</c:v>
                </c:pt>
                <c:pt idx="890">
                  <c:v>539.267207314762</c:v>
                </c:pt>
                <c:pt idx="891">
                  <c:v>539.267207314762</c:v>
                </c:pt>
                <c:pt idx="892">
                  <c:v>539.267207314762</c:v>
                </c:pt>
                <c:pt idx="893">
                  <c:v>539.267207314762</c:v>
                </c:pt>
                <c:pt idx="894">
                  <c:v>539.267207314762</c:v>
                </c:pt>
                <c:pt idx="895">
                  <c:v>539.267207314762</c:v>
                </c:pt>
                <c:pt idx="896">
                  <c:v>539.267207314762</c:v>
                </c:pt>
                <c:pt idx="897">
                  <c:v>539.267207314762</c:v>
                </c:pt>
                <c:pt idx="898">
                  <c:v>539.267207314762</c:v>
                </c:pt>
                <c:pt idx="899">
                  <c:v>539.267207314762</c:v>
                </c:pt>
                <c:pt idx="900">
                  <c:v>539.267207314762</c:v>
                </c:pt>
                <c:pt idx="901">
                  <c:v>539.267207314762</c:v>
                </c:pt>
                <c:pt idx="902">
                  <c:v>539.267207314762</c:v>
                </c:pt>
                <c:pt idx="903">
                  <c:v>539.267207314762</c:v>
                </c:pt>
                <c:pt idx="904">
                  <c:v>539.267207314762</c:v>
                </c:pt>
                <c:pt idx="905">
                  <c:v>539.267207314762</c:v>
                </c:pt>
                <c:pt idx="906">
                  <c:v>539.267207314762</c:v>
                </c:pt>
                <c:pt idx="907">
                  <c:v>539.267207314762</c:v>
                </c:pt>
                <c:pt idx="908">
                  <c:v>539.267207314762</c:v>
                </c:pt>
                <c:pt idx="909">
                  <c:v>539.267207314762</c:v>
                </c:pt>
                <c:pt idx="910">
                  <c:v>539.267207314762</c:v>
                </c:pt>
                <c:pt idx="911">
                  <c:v>539.267207314762</c:v>
                </c:pt>
                <c:pt idx="912">
                  <c:v>539.267207314762</c:v>
                </c:pt>
                <c:pt idx="913">
                  <c:v>539.267207314762</c:v>
                </c:pt>
                <c:pt idx="914">
                  <c:v>539.267207314762</c:v>
                </c:pt>
                <c:pt idx="915">
                  <c:v>539.267207314762</c:v>
                </c:pt>
                <c:pt idx="916">
                  <c:v>539.267207314762</c:v>
                </c:pt>
                <c:pt idx="917">
                  <c:v>539.267207314762</c:v>
                </c:pt>
                <c:pt idx="918">
                  <c:v>539.267207314762</c:v>
                </c:pt>
                <c:pt idx="919">
                  <c:v>539.267207314762</c:v>
                </c:pt>
                <c:pt idx="920">
                  <c:v>539.267207314762</c:v>
                </c:pt>
                <c:pt idx="921">
                  <c:v>539.267207314762</c:v>
                </c:pt>
                <c:pt idx="922">
                  <c:v>539.267207314762</c:v>
                </c:pt>
                <c:pt idx="923">
                  <c:v>539.267207314762</c:v>
                </c:pt>
                <c:pt idx="924">
                  <c:v>539.267207314762</c:v>
                </c:pt>
                <c:pt idx="925">
                  <c:v>539.267207314762</c:v>
                </c:pt>
                <c:pt idx="926">
                  <c:v>539.267207314762</c:v>
                </c:pt>
                <c:pt idx="927">
                  <c:v>539.267207314762</c:v>
                </c:pt>
                <c:pt idx="928">
                  <c:v>539.267207314762</c:v>
                </c:pt>
                <c:pt idx="929">
                  <c:v>539.267207314762</c:v>
                </c:pt>
                <c:pt idx="930">
                  <c:v>539.267207314762</c:v>
                </c:pt>
                <c:pt idx="931">
                  <c:v>539.267207314762</c:v>
                </c:pt>
                <c:pt idx="932">
                  <c:v>539.267207314762</c:v>
                </c:pt>
                <c:pt idx="933">
                  <c:v>539.267207314762</c:v>
                </c:pt>
                <c:pt idx="934">
                  <c:v>539.267207314762</c:v>
                </c:pt>
                <c:pt idx="935">
                  <c:v>539.267207314762</c:v>
                </c:pt>
                <c:pt idx="936">
                  <c:v>539.267207314762</c:v>
                </c:pt>
                <c:pt idx="937">
                  <c:v>539.267207314762</c:v>
                </c:pt>
                <c:pt idx="938">
                  <c:v>539.267207314762</c:v>
                </c:pt>
                <c:pt idx="939">
                  <c:v>539.267207314762</c:v>
                </c:pt>
                <c:pt idx="940">
                  <c:v>539.267207314762</c:v>
                </c:pt>
                <c:pt idx="941">
                  <c:v>539.267207314762</c:v>
                </c:pt>
                <c:pt idx="942">
                  <c:v>539.267207314762</c:v>
                </c:pt>
                <c:pt idx="943">
                  <c:v>539.267207314762</c:v>
                </c:pt>
                <c:pt idx="944">
                  <c:v>539.267207314762</c:v>
                </c:pt>
                <c:pt idx="945">
                  <c:v>539.267207314762</c:v>
                </c:pt>
                <c:pt idx="946">
                  <c:v>539.267207314762</c:v>
                </c:pt>
                <c:pt idx="947">
                  <c:v>539.267207314762</c:v>
                </c:pt>
                <c:pt idx="948">
                  <c:v>539.267207314762</c:v>
                </c:pt>
                <c:pt idx="949">
                  <c:v>539.267207314762</c:v>
                </c:pt>
                <c:pt idx="950">
                  <c:v>539.267207314762</c:v>
                </c:pt>
                <c:pt idx="951">
                  <c:v>539.267207314762</c:v>
                </c:pt>
                <c:pt idx="952">
                  <c:v>539.267207314762</c:v>
                </c:pt>
                <c:pt idx="953">
                  <c:v>539.267207314762</c:v>
                </c:pt>
                <c:pt idx="954">
                  <c:v>539.267207314762</c:v>
                </c:pt>
                <c:pt idx="955">
                  <c:v>539.267207314762</c:v>
                </c:pt>
                <c:pt idx="956">
                  <c:v>539.267207314762</c:v>
                </c:pt>
                <c:pt idx="957">
                  <c:v>539.267207314762</c:v>
                </c:pt>
                <c:pt idx="958">
                  <c:v>539.267207314762</c:v>
                </c:pt>
                <c:pt idx="959">
                  <c:v>539.267207314762</c:v>
                </c:pt>
                <c:pt idx="960">
                  <c:v>539.267207314762</c:v>
                </c:pt>
                <c:pt idx="961">
                  <c:v>539.267207314762</c:v>
                </c:pt>
                <c:pt idx="962">
                  <c:v>539.267207314762</c:v>
                </c:pt>
                <c:pt idx="963">
                  <c:v>539.267207314762</c:v>
                </c:pt>
                <c:pt idx="964">
                  <c:v>539.267207314762</c:v>
                </c:pt>
                <c:pt idx="965">
                  <c:v>539.267207314762</c:v>
                </c:pt>
                <c:pt idx="966">
                  <c:v>539.267207314762</c:v>
                </c:pt>
                <c:pt idx="967">
                  <c:v>539.267207314762</c:v>
                </c:pt>
                <c:pt idx="968">
                  <c:v>539.267207314762</c:v>
                </c:pt>
                <c:pt idx="969">
                  <c:v>539.267207314762</c:v>
                </c:pt>
                <c:pt idx="970">
                  <c:v>539.267207314762</c:v>
                </c:pt>
                <c:pt idx="971">
                  <c:v>539.267207314762</c:v>
                </c:pt>
                <c:pt idx="972">
                  <c:v>539.267207314762</c:v>
                </c:pt>
                <c:pt idx="973">
                  <c:v>539.267207314762</c:v>
                </c:pt>
                <c:pt idx="974">
                  <c:v>539.267207314762</c:v>
                </c:pt>
                <c:pt idx="975">
                  <c:v>539.267207314762</c:v>
                </c:pt>
                <c:pt idx="976">
                  <c:v>539.267207314762</c:v>
                </c:pt>
                <c:pt idx="977">
                  <c:v>539.267207314762</c:v>
                </c:pt>
                <c:pt idx="978">
                  <c:v>539.267207314762</c:v>
                </c:pt>
                <c:pt idx="979">
                  <c:v>539.267207314762</c:v>
                </c:pt>
                <c:pt idx="980">
                  <c:v>539.267207314762</c:v>
                </c:pt>
                <c:pt idx="981">
                  <c:v>539.267207314762</c:v>
                </c:pt>
                <c:pt idx="982">
                  <c:v>539.267207314762</c:v>
                </c:pt>
                <c:pt idx="983">
                  <c:v>539.267207314762</c:v>
                </c:pt>
                <c:pt idx="984">
                  <c:v>539.267207314762</c:v>
                </c:pt>
                <c:pt idx="985">
                  <c:v>539.267207314762</c:v>
                </c:pt>
                <c:pt idx="986">
                  <c:v>539.267207314762</c:v>
                </c:pt>
                <c:pt idx="987">
                  <c:v>539.267207314762</c:v>
                </c:pt>
                <c:pt idx="988">
                  <c:v>539.267207314762</c:v>
                </c:pt>
                <c:pt idx="989">
                  <c:v>539.267207314762</c:v>
                </c:pt>
                <c:pt idx="990">
                  <c:v>539.267207314762</c:v>
                </c:pt>
                <c:pt idx="991">
                  <c:v>539.267207314762</c:v>
                </c:pt>
                <c:pt idx="992">
                  <c:v>539.267207314762</c:v>
                </c:pt>
                <c:pt idx="993">
                  <c:v>539.267207314762</c:v>
                </c:pt>
                <c:pt idx="994">
                  <c:v>539.267207314762</c:v>
                </c:pt>
                <c:pt idx="995">
                  <c:v>539.267207314762</c:v>
                </c:pt>
                <c:pt idx="996">
                  <c:v>539.267207314762</c:v>
                </c:pt>
                <c:pt idx="997">
                  <c:v>539.267207314762</c:v>
                </c:pt>
                <c:pt idx="998">
                  <c:v>539.267207314762</c:v>
                </c:pt>
                <c:pt idx="999">
                  <c:v>539.267207314762</c:v>
                </c:pt>
                <c:pt idx="1000">
                  <c:v>539.267207314762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90-41C6-97FC-918778B11BA0}"/>
            </c:ext>
          </c:extLst>
        </c:ser>
        <c:ser>
          <c:idx val="1"/>
          <c:order val="1"/>
          <c:tx>
            <c:strRef>
              <c:f>Courbes!$B$143</c:f>
              <c:strCache>
                <c:ptCount val="1"/>
                <c:pt idx="0">
                  <c:v>Altitude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30.700000000000124</c:v>
                </c:pt>
                <c:pt idx="668">
                  <c:v>30.800000000000125</c:v>
                </c:pt>
                <c:pt idx="669">
                  <c:v>30.900000000000126</c:v>
                </c:pt>
                <c:pt idx="670">
                  <c:v>31.000000000000128</c:v>
                </c:pt>
                <c:pt idx="671">
                  <c:v>31.100000000000129</c:v>
                </c:pt>
                <c:pt idx="672">
                  <c:v>31.200000000000131</c:v>
                </c:pt>
                <c:pt idx="673">
                  <c:v>31.300000000000132</c:v>
                </c:pt>
                <c:pt idx="674">
                  <c:v>31.400000000000134</c:v>
                </c:pt>
                <c:pt idx="675">
                  <c:v>31.500000000000135</c:v>
                </c:pt>
                <c:pt idx="676">
                  <c:v>31.600000000000136</c:v>
                </c:pt>
                <c:pt idx="677">
                  <c:v>31.700000000000138</c:v>
                </c:pt>
                <c:pt idx="678">
                  <c:v>31.800000000000139</c:v>
                </c:pt>
                <c:pt idx="679">
                  <c:v>31.900000000000141</c:v>
                </c:pt>
                <c:pt idx="680">
                  <c:v>32.000000000000142</c:v>
                </c:pt>
                <c:pt idx="681">
                  <c:v>32.100000000000144</c:v>
                </c:pt>
                <c:pt idx="682">
                  <c:v>32.200000000000145</c:v>
                </c:pt>
                <c:pt idx="683">
                  <c:v>32.300000000000146</c:v>
                </c:pt>
                <c:pt idx="684">
                  <c:v>32.400000000000148</c:v>
                </c:pt>
                <c:pt idx="685">
                  <c:v>32.500000000000149</c:v>
                </c:pt>
                <c:pt idx="686">
                  <c:v>32.600000000000151</c:v>
                </c:pt>
                <c:pt idx="687">
                  <c:v>32.700000000000152</c:v>
                </c:pt>
                <c:pt idx="688">
                  <c:v>32.800000000000153</c:v>
                </c:pt>
                <c:pt idx="689">
                  <c:v>32.900000000000155</c:v>
                </c:pt>
                <c:pt idx="690">
                  <c:v>33.000000000000156</c:v>
                </c:pt>
                <c:pt idx="691">
                  <c:v>33.100000000000158</c:v>
                </c:pt>
                <c:pt idx="692">
                  <c:v>33.200000000000159</c:v>
                </c:pt>
                <c:pt idx="693">
                  <c:v>33.300000000000161</c:v>
                </c:pt>
                <c:pt idx="694">
                  <c:v>33.400000000000162</c:v>
                </c:pt>
                <c:pt idx="695">
                  <c:v>33.500000000000163</c:v>
                </c:pt>
                <c:pt idx="696">
                  <c:v>33.600000000000165</c:v>
                </c:pt>
                <c:pt idx="697">
                  <c:v>33.700000000000166</c:v>
                </c:pt>
                <c:pt idx="698">
                  <c:v>33.800000000000168</c:v>
                </c:pt>
                <c:pt idx="699">
                  <c:v>33.900000000000169</c:v>
                </c:pt>
                <c:pt idx="700">
                  <c:v>34.000000000000171</c:v>
                </c:pt>
                <c:pt idx="701">
                  <c:v>34.100000000000172</c:v>
                </c:pt>
                <c:pt idx="702">
                  <c:v>34.200000000000173</c:v>
                </c:pt>
                <c:pt idx="703">
                  <c:v>34.300000000000175</c:v>
                </c:pt>
                <c:pt idx="704">
                  <c:v>34.400000000000176</c:v>
                </c:pt>
                <c:pt idx="705">
                  <c:v>34.500000000000178</c:v>
                </c:pt>
                <c:pt idx="706">
                  <c:v>34.600000000000179</c:v>
                </c:pt>
                <c:pt idx="707">
                  <c:v>34.70000000000018</c:v>
                </c:pt>
                <c:pt idx="708">
                  <c:v>34.800000000000182</c:v>
                </c:pt>
                <c:pt idx="709">
                  <c:v>34.900000000000183</c:v>
                </c:pt>
                <c:pt idx="710">
                  <c:v>35.000000000000185</c:v>
                </c:pt>
                <c:pt idx="711">
                  <c:v>35.100000000000186</c:v>
                </c:pt>
                <c:pt idx="712">
                  <c:v>35.200000000000188</c:v>
                </c:pt>
                <c:pt idx="713">
                  <c:v>35.300000000000189</c:v>
                </c:pt>
                <c:pt idx="714">
                  <c:v>35.40000000000019</c:v>
                </c:pt>
                <c:pt idx="715">
                  <c:v>35.500000000000192</c:v>
                </c:pt>
                <c:pt idx="716">
                  <c:v>35.600000000000193</c:v>
                </c:pt>
                <c:pt idx="717">
                  <c:v>35.700000000000195</c:v>
                </c:pt>
                <c:pt idx="718">
                  <c:v>35.800000000000196</c:v>
                </c:pt>
                <c:pt idx="719">
                  <c:v>35.900000000000198</c:v>
                </c:pt>
                <c:pt idx="720">
                  <c:v>36.000000000000199</c:v>
                </c:pt>
                <c:pt idx="721">
                  <c:v>36.1000000000002</c:v>
                </c:pt>
                <c:pt idx="722">
                  <c:v>36.200000000000202</c:v>
                </c:pt>
                <c:pt idx="723">
                  <c:v>36.300000000000203</c:v>
                </c:pt>
                <c:pt idx="724">
                  <c:v>36.400000000000205</c:v>
                </c:pt>
                <c:pt idx="725">
                  <c:v>36.500000000000206</c:v>
                </c:pt>
                <c:pt idx="726">
                  <c:v>36.600000000000207</c:v>
                </c:pt>
                <c:pt idx="727">
                  <c:v>36.700000000000209</c:v>
                </c:pt>
                <c:pt idx="728">
                  <c:v>36.80000000000021</c:v>
                </c:pt>
                <c:pt idx="729">
                  <c:v>36.900000000000212</c:v>
                </c:pt>
                <c:pt idx="730">
                  <c:v>37.000000000000213</c:v>
                </c:pt>
                <c:pt idx="731">
                  <c:v>37.100000000000215</c:v>
                </c:pt>
                <c:pt idx="732">
                  <c:v>37.200000000000216</c:v>
                </c:pt>
                <c:pt idx="733">
                  <c:v>37.300000000000217</c:v>
                </c:pt>
                <c:pt idx="734">
                  <c:v>37.400000000000219</c:v>
                </c:pt>
                <c:pt idx="735">
                  <c:v>37.50000000000022</c:v>
                </c:pt>
                <c:pt idx="736">
                  <c:v>37.600000000000222</c:v>
                </c:pt>
                <c:pt idx="737">
                  <c:v>37.700000000000223</c:v>
                </c:pt>
                <c:pt idx="738">
                  <c:v>37.800000000000225</c:v>
                </c:pt>
                <c:pt idx="739">
                  <c:v>37.900000000000226</c:v>
                </c:pt>
                <c:pt idx="740">
                  <c:v>38.000000000000227</c:v>
                </c:pt>
                <c:pt idx="741">
                  <c:v>38.100000000000229</c:v>
                </c:pt>
                <c:pt idx="742">
                  <c:v>38.20000000000023</c:v>
                </c:pt>
                <c:pt idx="743">
                  <c:v>38.300000000000232</c:v>
                </c:pt>
                <c:pt idx="744">
                  <c:v>38.400000000000233</c:v>
                </c:pt>
                <c:pt idx="745">
                  <c:v>38.500000000000234</c:v>
                </c:pt>
                <c:pt idx="746">
                  <c:v>38.600000000000236</c:v>
                </c:pt>
                <c:pt idx="747">
                  <c:v>38.700000000000237</c:v>
                </c:pt>
                <c:pt idx="748">
                  <c:v>38.800000000000239</c:v>
                </c:pt>
                <c:pt idx="749">
                  <c:v>38.90000000000024</c:v>
                </c:pt>
                <c:pt idx="750">
                  <c:v>39.000000000000242</c:v>
                </c:pt>
                <c:pt idx="751">
                  <c:v>39.100000000000243</c:v>
                </c:pt>
                <c:pt idx="752">
                  <c:v>39.200000000000244</c:v>
                </c:pt>
                <c:pt idx="753">
                  <c:v>39.300000000000246</c:v>
                </c:pt>
                <c:pt idx="754">
                  <c:v>39.400000000000247</c:v>
                </c:pt>
                <c:pt idx="755">
                  <c:v>39.400100000000251</c:v>
                </c:pt>
                <c:pt idx="756">
                  <c:v>39.400200000000254</c:v>
                </c:pt>
                <c:pt idx="757">
                  <c:v>39.400300000000257</c:v>
                </c:pt>
                <c:pt idx="758">
                  <c:v>39.400400000000261</c:v>
                </c:pt>
                <c:pt idx="759">
                  <c:v>39.400500000000264</c:v>
                </c:pt>
                <c:pt idx="760">
                  <c:v>39.400600000000267</c:v>
                </c:pt>
                <c:pt idx="761">
                  <c:v>39.400700000000271</c:v>
                </c:pt>
                <c:pt idx="762">
                  <c:v>39.400800000000274</c:v>
                </c:pt>
                <c:pt idx="763">
                  <c:v>39.400900000000277</c:v>
                </c:pt>
                <c:pt idx="764">
                  <c:v>39.40100000000028</c:v>
                </c:pt>
                <c:pt idx="765">
                  <c:v>39.401100000000284</c:v>
                </c:pt>
                <c:pt idx="766">
                  <c:v>39.401200000000287</c:v>
                </c:pt>
                <c:pt idx="767">
                  <c:v>39.40130000000029</c:v>
                </c:pt>
                <c:pt idx="768">
                  <c:v>39.401400000000294</c:v>
                </c:pt>
                <c:pt idx="769">
                  <c:v>39.401500000000297</c:v>
                </c:pt>
                <c:pt idx="770">
                  <c:v>39.4016000000003</c:v>
                </c:pt>
                <c:pt idx="771">
                  <c:v>39.401700000000304</c:v>
                </c:pt>
                <c:pt idx="772">
                  <c:v>39.401800000000307</c:v>
                </c:pt>
                <c:pt idx="773">
                  <c:v>39.40190000000031</c:v>
                </c:pt>
                <c:pt idx="774">
                  <c:v>39.402000000000314</c:v>
                </c:pt>
                <c:pt idx="775">
                  <c:v>39.402100000000317</c:v>
                </c:pt>
                <c:pt idx="776">
                  <c:v>39.40220000000032</c:v>
                </c:pt>
                <c:pt idx="777">
                  <c:v>39.402300000000324</c:v>
                </c:pt>
                <c:pt idx="778">
                  <c:v>39.402400000000327</c:v>
                </c:pt>
                <c:pt idx="779">
                  <c:v>39.40250000000033</c:v>
                </c:pt>
                <c:pt idx="780">
                  <c:v>39.402600000000334</c:v>
                </c:pt>
                <c:pt idx="781">
                  <c:v>39.402700000000337</c:v>
                </c:pt>
                <c:pt idx="782">
                  <c:v>39.40280000000034</c:v>
                </c:pt>
                <c:pt idx="783">
                  <c:v>39.402900000000344</c:v>
                </c:pt>
                <c:pt idx="784">
                  <c:v>39.403000000000347</c:v>
                </c:pt>
                <c:pt idx="785">
                  <c:v>39.40310000000035</c:v>
                </c:pt>
                <c:pt idx="786">
                  <c:v>39.403200000000353</c:v>
                </c:pt>
                <c:pt idx="787">
                  <c:v>39.403300000000357</c:v>
                </c:pt>
                <c:pt idx="788">
                  <c:v>39.40340000000036</c:v>
                </c:pt>
                <c:pt idx="789">
                  <c:v>39.403500000000363</c:v>
                </c:pt>
                <c:pt idx="790">
                  <c:v>39.403600000000367</c:v>
                </c:pt>
                <c:pt idx="791">
                  <c:v>39.40370000000037</c:v>
                </c:pt>
                <c:pt idx="792">
                  <c:v>39.403800000000373</c:v>
                </c:pt>
                <c:pt idx="793">
                  <c:v>39.403900000000377</c:v>
                </c:pt>
                <c:pt idx="794">
                  <c:v>39.40400000000038</c:v>
                </c:pt>
                <c:pt idx="795">
                  <c:v>39.404100000000383</c:v>
                </c:pt>
                <c:pt idx="796">
                  <c:v>39.404200000000387</c:v>
                </c:pt>
                <c:pt idx="797">
                  <c:v>39.40430000000039</c:v>
                </c:pt>
                <c:pt idx="798">
                  <c:v>39.404400000000393</c:v>
                </c:pt>
                <c:pt idx="799">
                  <c:v>39.404500000000397</c:v>
                </c:pt>
                <c:pt idx="800">
                  <c:v>39.4046000000004</c:v>
                </c:pt>
                <c:pt idx="801">
                  <c:v>39.404700000000403</c:v>
                </c:pt>
                <c:pt idx="802">
                  <c:v>39.404800000000407</c:v>
                </c:pt>
                <c:pt idx="803">
                  <c:v>39.40490000000041</c:v>
                </c:pt>
                <c:pt idx="804">
                  <c:v>39.405000000000413</c:v>
                </c:pt>
                <c:pt idx="805">
                  <c:v>39.405100000000417</c:v>
                </c:pt>
                <c:pt idx="806">
                  <c:v>39.40520000000042</c:v>
                </c:pt>
                <c:pt idx="807">
                  <c:v>39.405300000000423</c:v>
                </c:pt>
                <c:pt idx="808">
                  <c:v>39.405400000000427</c:v>
                </c:pt>
                <c:pt idx="809">
                  <c:v>39.40550000000043</c:v>
                </c:pt>
                <c:pt idx="810">
                  <c:v>39.405600000000433</c:v>
                </c:pt>
                <c:pt idx="811">
                  <c:v>39.405700000000436</c:v>
                </c:pt>
                <c:pt idx="812">
                  <c:v>39.40580000000044</c:v>
                </c:pt>
                <c:pt idx="813">
                  <c:v>39.405900000000443</c:v>
                </c:pt>
                <c:pt idx="814">
                  <c:v>39.406000000000446</c:v>
                </c:pt>
                <c:pt idx="815">
                  <c:v>39.40610000000045</c:v>
                </c:pt>
                <c:pt idx="816">
                  <c:v>39.406200000000453</c:v>
                </c:pt>
                <c:pt idx="817">
                  <c:v>39.406300000000456</c:v>
                </c:pt>
                <c:pt idx="818">
                  <c:v>39.40640000000046</c:v>
                </c:pt>
                <c:pt idx="819">
                  <c:v>39.406500000000463</c:v>
                </c:pt>
                <c:pt idx="820">
                  <c:v>39.406600000000466</c:v>
                </c:pt>
                <c:pt idx="821">
                  <c:v>39.40670000000047</c:v>
                </c:pt>
                <c:pt idx="822">
                  <c:v>39.406800000000473</c:v>
                </c:pt>
                <c:pt idx="823">
                  <c:v>39.406900000000476</c:v>
                </c:pt>
                <c:pt idx="824">
                  <c:v>39.40700000000048</c:v>
                </c:pt>
                <c:pt idx="825">
                  <c:v>39.407100000000483</c:v>
                </c:pt>
                <c:pt idx="826">
                  <c:v>39.407200000000486</c:v>
                </c:pt>
                <c:pt idx="827">
                  <c:v>39.40730000000049</c:v>
                </c:pt>
                <c:pt idx="828">
                  <c:v>39.407400000000493</c:v>
                </c:pt>
                <c:pt idx="829">
                  <c:v>39.407500000000496</c:v>
                </c:pt>
                <c:pt idx="830">
                  <c:v>39.4076000000005</c:v>
                </c:pt>
                <c:pt idx="831">
                  <c:v>39.407700000000503</c:v>
                </c:pt>
                <c:pt idx="832">
                  <c:v>39.407800000000506</c:v>
                </c:pt>
                <c:pt idx="833">
                  <c:v>39.40790000000051</c:v>
                </c:pt>
                <c:pt idx="834">
                  <c:v>39.408000000000513</c:v>
                </c:pt>
                <c:pt idx="835">
                  <c:v>39.408100000000516</c:v>
                </c:pt>
                <c:pt idx="836">
                  <c:v>39.408200000000519</c:v>
                </c:pt>
                <c:pt idx="837">
                  <c:v>39.408300000000523</c:v>
                </c:pt>
                <c:pt idx="838">
                  <c:v>39.408400000000526</c:v>
                </c:pt>
                <c:pt idx="839">
                  <c:v>39.408500000000529</c:v>
                </c:pt>
                <c:pt idx="840">
                  <c:v>39.408600000000533</c:v>
                </c:pt>
                <c:pt idx="841">
                  <c:v>39.408700000000536</c:v>
                </c:pt>
                <c:pt idx="842">
                  <c:v>39.408800000000539</c:v>
                </c:pt>
                <c:pt idx="843">
                  <c:v>39.408900000000543</c:v>
                </c:pt>
                <c:pt idx="844">
                  <c:v>39.409000000000546</c:v>
                </c:pt>
                <c:pt idx="845">
                  <c:v>39.409100000000549</c:v>
                </c:pt>
                <c:pt idx="846">
                  <c:v>39.409200000000553</c:v>
                </c:pt>
                <c:pt idx="847">
                  <c:v>39.409300000000556</c:v>
                </c:pt>
                <c:pt idx="848">
                  <c:v>39.409400000000559</c:v>
                </c:pt>
                <c:pt idx="849">
                  <c:v>39.409500000000563</c:v>
                </c:pt>
                <c:pt idx="850">
                  <c:v>39.409600000000566</c:v>
                </c:pt>
                <c:pt idx="851">
                  <c:v>39.409700000000569</c:v>
                </c:pt>
                <c:pt idx="852">
                  <c:v>39.409800000000573</c:v>
                </c:pt>
                <c:pt idx="853">
                  <c:v>39.409900000000576</c:v>
                </c:pt>
                <c:pt idx="854">
                  <c:v>39.410000000000579</c:v>
                </c:pt>
                <c:pt idx="855">
                  <c:v>39.410100000000583</c:v>
                </c:pt>
                <c:pt idx="856">
                  <c:v>39.410200000000586</c:v>
                </c:pt>
                <c:pt idx="857">
                  <c:v>39.410300000000589</c:v>
                </c:pt>
                <c:pt idx="858">
                  <c:v>39.410400000000593</c:v>
                </c:pt>
                <c:pt idx="859">
                  <c:v>39.410500000000596</c:v>
                </c:pt>
                <c:pt idx="860">
                  <c:v>39.410600000000599</c:v>
                </c:pt>
                <c:pt idx="861">
                  <c:v>39.410700000000602</c:v>
                </c:pt>
                <c:pt idx="862">
                  <c:v>39.410800000000606</c:v>
                </c:pt>
                <c:pt idx="863">
                  <c:v>39.410900000000609</c:v>
                </c:pt>
                <c:pt idx="864">
                  <c:v>39.411000000000612</c:v>
                </c:pt>
                <c:pt idx="865">
                  <c:v>39.411100000000616</c:v>
                </c:pt>
                <c:pt idx="866">
                  <c:v>39.411200000000619</c:v>
                </c:pt>
                <c:pt idx="867">
                  <c:v>39.411300000000622</c:v>
                </c:pt>
                <c:pt idx="868">
                  <c:v>39.411400000000626</c:v>
                </c:pt>
                <c:pt idx="869">
                  <c:v>39.411500000000629</c:v>
                </c:pt>
                <c:pt idx="870">
                  <c:v>39.411600000000632</c:v>
                </c:pt>
                <c:pt idx="871">
                  <c:v>39.411700000000636</c:v>
                </c:pt>
                <c:pt idx="872">
                  <c:v>39.411800000000639</c:v>
                </c:pt>
                <c:pt idx="873">
                  <c:v>39.411900000000642</c:v>
                </c:pt>
                <c:pt idx="874">
                  <c:v>39.412000000000646</c:v>
                </c:pt>
                <c:pt idx="875">
                  <c:v>39.412100000000649</c:v>
                </c:pt>
                <c:pt idx="876">
                  <c:v>39.412200000000652</c:v>
                </c:pt>
                <c:pt idx="877">
                  <c:v>39.412300000000656</c:v>
                </c:pt>
                <c:pt idx="878">
                  <c:v>39.412400000000659</c:v>
                </c:pt>
                <c:pt idx="879">
                  <c:v>39.412500000000662</c:v>
                </c:pt>
                <c:pt idx="880">
                  <c:v>39.412600000000666</c:v>
                </c:pt>
                <c:pt idx="881">
                  <c:v>39.412700000000669</c:v>
                </c:pt>
                <c:pt idx="882">
                  <c:v>39.412800000000672</c:v>
                </c:pt>
                <c:pt idx="883">
                  <c:v>39.412900000000676</c:v>
                </c:pt>
                <c:pt idx="884">
                  <c:v>39.413000000000679</c:v>
                </c:pt>
                <c:pt idx="885">
                  <c:v>39.413100000000682</c:v>
                </c:pt>
                <c:pt idx="886">
                  <c:v>39.413200000000685</c:v>
                </c:pt>
                <c:pt idx="887">
                  <c:v>39.413300000000689</c:v>
                </c:pt>
                <c:pt idx="888">
                  <c:v>39.413400000000692</c:v>
                </c:pt>
                <c:pt idx="889">
                  <c:v>39.413500000000695</c:v>
                </c:pt>
                <c:pt idx="890">
                  <c:v>39.413600000000699</c:v>
                </c:pt>
                <c:pt idx="891">
                  <c:v>39.413700000000702</c:v>
                </c:pt>
                <c:pt idx="892">
                  <c:v>39.413800000000705</c:v>
                </c:pt>
                <c:pt idx="893">
                  <c:v>39.413900000000709</c:v>
                </c:pt>
                <c:pt idx="894">
                  <c:v>39.414000000000712</c:v>
                </c:pt>
                <c:pt idx="895">
                  <c:v>39.414100000000715</c:v>
                </c:pt>
                <c:pt idx="896">
                  <c:v>39.414200000000719</c:v>
                </c:pt>
                <c:pt idx="897">
                  <c:v>39.414300000000722</c:v>
                </c:pt>
                <c:pt idx="898">
                  <c:v>39.414400000000725</c:v>
                </c:pt>
                <c:pt idx="899">
                  <c:v>39.414500000000729</c:v>
                </c:pt>
                <c:pt idx="900">
                  <c:v>39.414600000000732</c:v>
                </c:pt>
                <c:pt idx="901">
                  <c:v>39.414700000000735</c:v>
                </c:pt>
                <c:pt idx="902">
                  <c:v>39.414800000000739</c:v>
                </c:pt>
                <c:pt idx="903">
                  <c:v>39.414900000000742</c:v>
                </c:pt>
                <c:pt idx="904">
                  <c:v>39.415000000000745</c:v>
                </c:pt>
                <c:pt idx="905">
                  <c:v>39.415100000000749</c:v>
                </c:pt>
                <c:pt idx="906">
                  <c:v>39.415200000000752</c:v>
                </c:pt>
                <c:pt idx="907">
                  <c:v>39.415300000000755</c:v>
                </c:pt>
                <c:pt idx="908">
                  <c:v>39.415400000000758</c:v>
                </c:pt>
                <c:pt idx="909">
                  <c:v>39.415500000000762</c:v>
                </c:pt>
                <c:pt idx="910">
                  <c:v>39.415600000000765</c:v>
                </c:pt>
                <c:pt idx="911">
                  <c:v>39.415700000000768</c:v>
                </c:pt>
                <c:pt idx="912">
                  <c:v>39.415800000000772</c:v>
                </c:pt>
                <c:pt idx="913">
                  <c:v>39.415900000000775</c:v>
                </c:pt>
                <c:pt idx="914">
                  <c:v>39.416000000000778</c:v>
                </c:pt>
                <c:pt idx="915">
                  <c:v>39.416100000000782</c:v>
                </c:pt>
                <c:pt idx="916">
                  <c:v>39.416200000000785</c:v>
                </c:pt>
                <c:pt idx="917">
                  <c:v>39.416300000000788</c:v>
                </c:pt>
                <c:pt idx="918">
                  <c:v>39.416400000000792</c:v>
                </c:pt>
                <c:pt idx="919">
                  <c:v>39.416500000000795</c:v>
                </c:pt>
                <c:pt idx="920">
                  <c:v>39.416600000000798</c:v>
                </c:pt>
                <c:pt idx="921">
                  <c:v>39.416700000000802</c:v>
                </c:pt>
                <c:pt idx="922">
                  <c:v>39.416800000000805</c:v>
                </c:pt>
                <c:pt idx="923">
                  <c:v>39.416900000000808</c:v>
                </c:pt>
                <c:pt idx="924">
                  <c:v>39.417000000000812</c:v>
                </c:pt>
                <c:pt idx="925">
                  <c:v>39.417100000000815</c:v>
                </c:pt>
                <c:pt idx="926">
                  <c:v>39.417200000000818</c:v>
                </c:pt>
                <c:pt idx="927">
                  <c:v>39.417300000000822</c:v>
                </c:pt>
                <c:pt idx="928">
                  <c:v>39.417400000000825</c:v>
                </c:pt>
                <c:pt idx="929">
                  <c:v>39.417500000000828</c:v>
                </c:pt>
                <c:pt idx="930">
                  <c:v>39.417600000000832</c:v>
                </c:pt>
                <c:pt idx="931">
                  <c:v>39.417700000000835</c:v>
                </c:pt>
                <c:pt idx="932">
                  <c:v>39.417800000000838</c:v>
                </c:pt>
                <c:pt idx="933">
                  <c:v>39.417900000000841</c:v>
                </c:pt>
                <c:pt idx="934">
                  <c:v>39.418000000000845</c:v>
                </c:pt>
                <c:pt idx="935">
                  <c:v>39.418100000000848</c:v>
                </c:pt>
                <c:pt idx="936">
                  <c:v>39.418200000000851</c:v>
                </c:pt>
                <c:pt idx="937">
                  <c:v>39.418300000000855</c:v>
                </c:pt>
                <c:pt idx="938">
                  <c:v>39.418400000000858</c:v>
                </c:pt>
                <c:pt idx="939">
                  <c:v>39.418500000000861</c:v>
                </c:pt>
                <c:pt idx="940">
                  <c:v>39.418600000000865</c:v>
                </c:pt>
                <c:pt idx="941">
                  <c:v>39.418700000000868</c:v>
                </c:pt>
                <c:pt idx="942">
                  <c:v>39.418800000000871</c:v>
                </c:pt>
                <c:pt idx="943">
                  <c:v>39.418900000000875</c:v>
                </c:pt>
                <c:pt idx="944">
                  <c:v>39.419000000000878</c:v>
                </c:pt>
                <c:pt idx="945">
                  <c:v>39.419100000000881</c:v>
                </c:pt>
                <c:pt idx="946">
                  <c:v>39.419200000000885</c:v>
                </c:pt>
                <c:pt idx="947">
                  <c:v>39.419300000000888</c:v>
                </c:pt>
                <c:pt idx="948">
                  <c:v>39.419400000000891</c:v>
                </c:pt>
                <c:pt idx="949">
                  <c:v>39.419500000000895</c:v>
                </c:pt>
                <c:pt idx="950">
                  <c:v>39.419600000000898</c:v>
                </c:pt>
                <c:pt idx="951">
                  <c:v>39.419700000000901</c:v>
                </c:pt>
                <c:pt idx="952">
                  <c:v>39.419800000000905</c:v>
                </c:pt>
                <c:pt idx="953">
                  <c:v>39.419900000000908</c:v>
                </c:pt>
                <c:pt idx="954">
                  <c:v>39.420000000000911</c:v>
                </c:pt>
                <c:pt idx="955">
                  <c:v>39.420100000000915</c:v>
                </c:pt>
                <c:pt idx="956">
                  <c:v>39.420200000000918</c:v>
                </c:pt>
                <c:pt idx="957">
                  <c:v>39.420300000000921</c:v>
                </c:pt>
                <c:pt idx="958">
                  <c:v>39.420400000000924</c:v>
                </c:pt>
                <c:pt idx="959">
                  <c:v>39.420500000000928</c:v>
                </c:pt>
                <c:pt idx="960">
                  <c:v>39.420600000000931</c:v>
                </c:pt>
                <c:pt idx="961">
                  <c:v>39.420700000000934</c:v>
                </c:pt>
                <c:pt idx="962">
                  <c:v>39.420800000000938</c:v>
                </c:pt>
                <c:pt idx="963">
                  <c:v>39.420900000000941</c:v>
                </c:pt>
                <c:pt idx="964">
                  <c:v>39.421000000000944</c:v>
                </c:pt>
                <c:pt idx="965">
                  <c:v>39.421100000000948</c:v>
                </c:pt>
                <c:pt idx="966">
                  <c:v>39.421200000000951</c:v>
                </c:pt>
                <c:pt idx="967">
                  <c:v>39.421300000000954</c:v>
                </c:pt>
                <c:pt idx="968">
                  <c:v>39.421400000000958</c:v>
                </c:pt>
                <c:pt idx="969">
                  <c:v>39.421500000000961</c:v>
                </c:pt>
                <c:pt idx="970">
                  <c:v>39.421600000000964</c:v>
                </c:pt>
                <c:pt idx="971">
                  <c:v>39.421700000000968</c:v>
                </c:pt>
                <c:pt idx="972">
                  <c:v>39.421800000000971</c:v>
                </c:pt>
                <c:pt idx="973">
                  <c:v>39.421900000000974</c:v>
                </c:pt>
                <c:pt idx="974">
                  <c:v>39.422000000000978</c:v>
                </c:pt>
                <c:pt idx="975">
                  <c:v>39.422100000000981</c:v>
                </c:pt>
                <c:pt idx="976">
                  <c:v>39.422200000000984</c:v>
                </c:pt>
                <c:pt idx="977">
                  <c:v>39.422300000000988</c:v>
                </c:pt>
                <c:pt idx="978">
                  <c:v>39.422400000000991</c:v>
                </c:pt>
                <c:pt idx="979">
                  <c:v>39.422500000000994</c:v>
                </c:pt>
                <c:pt idx="980">
                  <c:v>39.422600000000998</c:v>
                </c:pt>
                <c:pt idx="981">
                  <c:v>39.422700000001001</c:v>
                </c:pt>
                <c:pt idx="982">
                  <c:v>39.422800000001004</c:v>
                </c:pt>
                <c:pt idx="983">
                  <c:v>39.422900000001007</c:v>
                </c:pt>
                <c:pt idx="984">
                  <c:v>39.423000000001011</c:v>
                </c:pt>
                <c:pt idx="985">
                  <c:v>39.423100000001014</c:v>
                </c:pt>
                <c:pt idx="986">
                  <c:v>39.423200000001017</c:v>
                </c:pt>
                <c:pt idx="987">
                  <c:v>39.423300000001021</c:v>
                </c:pt>
                <c:pt idx="988">
                  <c:v>39.423400000001024</c:v>
                </c:pt>
                <c:pt idx="989">
                  <c:v>39.423500000001027</c:v>
                </c:pt>
                <c:pt idx="990">
                  <c:v>39.423600000001031</c:v>
                </c:pt>
                <c:pt idx="991">
                  <c:v>39.423700000001034</c:v>
                </c:pt>
                <c:pt idx="992">
                  <c:v>39.423800000001037</c:v>
                </c:pt>
                <c:pt idx="993">
                  <c:v>39.423900000001041</c:v>
                </c:pt>
                <c:pt idx="994">
                  <c:v>39.424000000001044</c:v>
                </c:pt>
                <c:pt idx="995">
                  <c:v>39.424100000001047</c:v>
                </c:pt>
                <c:pt idx="996">
                  <c:v>39.424200000001051</c:v>
                </c:pt>
                <c:pt idx="997">
                  <c:v>39.424300000001054</c:v>
                </c:pt>
                <c:pt idx="998">
                  <c:v>39.424400000001057</c:v>
                </c:pt>
                <c:pt idx="999">
                  <c:v>39.424500000001061</c:v>
                </c:pt>
                <c:pt idx="1000">
                  <c:v>39.424600000001064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7.7368424903084419E-5</c:v>
                </c:pt>
                <c:pt idx="2">
                  <c:v>1.4380473877216894E-3</c:v>
                </c:pt>
                <c:pt idx="3">
                  <c:v>6.3398889117314006E-3</c:v>
                </c:pt>
                <c:pt idx="4">
                  <c:v>1.7042533958661635E-2</c:v>
                </c:pt>
                <c:pt idx="5">
                  <c:v>3.5808166956854348E-2</c:v>
                </c:pt>
                <c:pt idx="6">
                  <c:v>6.4329987162969005E-2</c:v>
                </c:pt>
                <c:pt idx="7">
                  <c:v>0.10315909181445748</c:v>
                </c:pt>
                <c:pt idx="8">
                  <c:v>0.15227485970928079</c:v>
                </c:pt>
                <c:pt idx="9">
                  <c:v>0.2116565483029568</c:v>
                </c:pt>
                <c:pt idx="10">
                  <c:v>0.281283294095028</c:v>
                </c:pt>
                <c:pt idx="11">
                  <c:v>0.36113411302076881</c:v>
                </c:pt>
                <c:pt idx="12">
                  <c:v>0.45118790084809968</c:v>
                </c:pt>
                <c:pt idx="13">
                  <c:v>0.55142343357967405</c:v>
                </c:pt>
                <c:pt idx="14">
                  <c:v>0.66181936786010354</c:v>
                </c:pt>
                <c:pt idx="15">
                  <c:v>0.78235424138828669</c:v>
                </c:pt>
                <c:pt idx="16">
                  <c:v>0.91300647333480556</c:v>
                </c:pt>
                <c:pt idx="17">
                  <c:v>1.0537543647643548</c:v>
                </c:pt>
                <c:pt idx="18">
                  <c:v>1.2045760990631666</c:v>
                </c:pt>
                <c:pt idx="19">
                  <c:v>1.3654497423713938</c:v>
                </c:pt>
                <c:pt idx="20">
                  <c:v>1.5363532440204153</c:v>
                </c:pt>
                <c:pt idx="21">
                  <c:v>1.7172644369750243</c:v>
                </c:pt>
                <c:pt idx="22">
                  <c:v>1.9081610382804624</c:v>
                </c:pt>
                <c:pt idx="23">
                  <c:v>2.1090206495142589</c:v>
                </c:pt>
                <c:pt idx="24">
                  <c:v>2.3198207572428391</c:v>
                </c:pt>
                <c:pt idx="25">
                  <c:v>2.5405387334828582</c:v>
                </c:pt>
                <c:pt idx="26">
                  <c:v>2.7711518361672232</c:v>
                </c:pt>
                <c:pt idx="27">
                  <c:v>3.0116372096157602</c:v>
                </c:pt>
                <c:pt idx="28">
                  <c:v>3.2619718850104884</c:v>
                </c:pt>
                <c:pt idx="29">
                  <c:v>3.5221327808754577</c:v>
                </c:pt>
                <c:pt idx="30">
                  <c:v>3.7920967035611071</c:v>
                </c:pt>
                <c:pt idx="31">
                  <c:v>4.0718403477331035</c:v>
                </c:pt>
                <c:pt idx="32">
                  <c:v>4.3613365689491994</c:v>
                </c:pt>
                <c:pt idx="33">
                  <c:v>4.6605579786460423</c:v>
                </c:pt>
                <c:pt idx="34">
                  <c:v>4.9694806744725835</c:v>
                </c:pt>
                <c:pt idx="35">
                  <c:v>5.2880806501466475</c:v>
                </c:pt>
                <c:pt idx="36">
                  <c:v>5.6163337976873375</c:v>
                </c:pt>
                <c:pt idx="37">
                  <c:v>5.954215907541661</c:v>
                </c:pt>
                <c:pt idx="38">
                  <c:v>6.3017026687475335</c:v>
                </c:pt>
                <c:pt idx="39">
                  <c:v>6.6587696691295868</c:v>
                </c:pt>
                <c:pt idx="40">
                  <c:v>7.0253923955246771</c:v>
                </c:pt>
                <c:pt idx="41">
                  <c:v>7.4015462340343952</c:v>
                </c:pt>
                <c:pt idx="42">
                  <c:v>7.7872064703022223</c:v>
                </c:pt>
                <c:pt idx="43">
                  <c:v>8.18234828981325</c:v>
                </c:pt>
                <c:pt idx="44">
                  <c:v>8.5869467782146351</c:v>
                </c:pt>
                <c:pt idx="45">
                  <c:v>9.0009769216551785</c:v>
                </c:pt>
                <c:pt idx="46">
                  <c:v>9.4244136071425686</c:v>
                </c:pt>
                <c:pt idx="47">
                  <c:v>9.8572316229170323</c:v>
                </c:pt>
                <c:pt idx="48">
                  <c:v>10.299405658840223</c:v>
                </c:pt>
                <c:pt idx="49">
                  <c:v>10.750910306798335</c:v>
                </c:pt>
                <c:pt idx="50">
                  <c:v>11.211720061118488</c:v>
                </c:pt>
                <c:pt idx="51">
                  <c:v>11.681812339234286</c:v>
                </c:pt>
                <c:pt idx="52">
                  <c:v>12.161170507314598</c:v>
                </c:pt>
                <c:pt idx="53">
                  <c:v>12.649780867243603</c:v>
                </c:pt>
                <c:pt idx="54">
                  <c:v>13.147629638501721</c:v>
                </c:pt>
                <c:pt idx="55">
                  <c:v>13.654702958321002</c:v>
                </c:pt>
                <c:pt idx="56">
                  <c:v>14.170986881848936</c:v>
                </c:pt>
                <c:pt idx="57">
                  <c:v>14.696467382320296</c:v>
                </c:pt>
                <c:pt idx="58">
                  <c:v>15.231130351236656</c:v>
                </c:pt>
                <c:pt idx="59">
                  <c:v>15.774961598553256</c:v>
                </c:pt>
                <c:pt idx="60">
                  <c:v>16.327946852872927</c:v>
                </c:pt>
                <c:pt idx="61">
                  <c:v>16.89007176164678</c:v>
                </c:pt>
                <c:pt idx="62">
                  <c:v>17.461321891381409</c:v>
                </c:pt>
                <c:pt idx="63">
                  <c:v>18.041682727852379</c:v>
                </c:pt>
                <c:pt idx="64">
                  <c:v>18.631139676323752</c:v>
                </c:pt>
                <c:pt idx="65">
                  <c:v>19.229678061773487</c:v>
                </c:pt>
                <c:pt idx="66">
                  <c:v>19.837283129124472</c:v>
                </c:pt>
                <c:pt idx="67">
                  <c:v>20.453940043481037</c:v>
                </c:pt>
                <c:pt idx="68">
                  <c:v>21.07963389037079</c:v>
                </c:pt>
                <c:pt idx="69">
                  <c:v>21.714349675991588</c:v>
                </c:pt>
                <c:pt idx="70">
                  <c:v>22.358072327463514</c:v>
                </c:pt>
                <c:pt idx="71">
                  <c:v>23.010786693085713</c:v>
                </c:pt>
                <c:pt idx="72">
                  <c:v>23.672477542597957</c:v>
                </c:pt>
                <c:pt idx="73">
                  <c:v>24.343129567446834</c:v>
                </c:pt>
                <c:pt idx="74">
                  <c:v>25.022727381056395</c:v>
                </c:pt>
                <c:pt idx="75">
                  <c:v>25.711255519103197</c:v>
                </c:pt>
                <c:pt idx="76">
                  <c:v>26.408698439795607</c:v>
                </c:pt>
                <c:pt idx="77">
                  <c:v>27.115040524157287</c:v>
                </c:pt>
                <c:pt idx="78">
                  <c:v>27.830266076314729</c:v>
                </c:pt>
                <c:pt idx="79">
                  <c:v>28.554359323788795</c:v>
                </c:pt>
                <c:pt idx="80">
                  <c:v>29.287304417790136</c:v>
                </c:pt>
                <c:pt idx="81">
                  <c:v>30.029085433518414</c:v>
                </c:pt>
                <c:pt idx="82">
                  <c:v>30.779686370465278</c:v>
                </c:pt>
                <c:pt idx="83">
                  <c:v>31.539091152720953</c:v>
                </c:pt>
                <c:pt idx="84">
                  <c:v>32.307283629284441</c:v>
                </c:pt>
                <c:pt idx="85">
                  <c:v>33.084247574377194</c:v>
                </c:pt>
                <c:pt idx="86">
                  <c:v>33.869966687760261</c:v>
                </c:pt>
                <c:pt idx="87">
                  <c:v>34.664424595054747</c:v>
                </c:pt>
                <c:pt idx="88">
                  <c:v>35.467604848065633</c:v>
                </c:pt>
                <c:pt idx="89">
                  <c:v>36.279490925108796</c:v>
                </c:pt>
                <c:pt idx="90">
                  <c:v>37.100066231341231</c:v>
                </c:pt>
                <c:pt idx="91">
                  <c:v>37.929314099094384</c:v>
                </c:pt>
                <c:pt idx="92">
                  <c:v>38.767217788210537</c:v>
                </c:pt>
                <c:pt idx="93">
                  <c:v>39.613760486382219</c:v>
                </c:pt>
                <c:pt idx="94">
                  <c:v>40.468925309494551</c:v>
                </c:pt>
                <c:pt idx="95">
                  <c:v>41.332695301970517</c:v>
                </c:pt>
                <c:pt idx="96">
                  <c:v>42.205053437119034</c:v>
                </c:pt>
                <c:pt idx="97">
                  <c:v>43.085982617485868</c:v>
                </c:pt>
                <c:pt idx="98">
                  <c:v>43.975465675207261</c:v>
                </c:pt>
                <c:pt idx="99">
                  <c:v>44.873485372366275</c:v>
                </c:pt>
                <c:pt idx="100">
                  <c:v>45.78002440135176</c:v>
                </c:pt>
                <c:pt idx="101">
                  <c:v>46.695063988805764</c:v>
                </c:pt>
                <c:pt idx="102">
                  <c:v>47.61858249794151</c:v>
                </c:pt>
                <c:pt idx="103">
                  <c:v>48.550556823457796</c:v>
                </c:pt>
                <c:pt idx="104">
                  <c:v>49.490963788159753</c:v>
                </c:pt>
                <c:pt idx="105">
                  <c:v>50.439780143474188</c:v>
                </c:pt>
                <c:pt idx="106">
                  <c:v>51.396982569967129</c:v>
                </c:pt>
                <c:pt idx="107">
                  <c:v>52.362547677863503</c:v>
                </c:pt>
                <c:pt idx="108">
                  <c:v>53.336452007568923</c:v>
                </c:pt>
                <c:pt idx="109">
                  <c:v>54.318672030193454</c:v>
                </c:pt>
                <c:pt idx="110">
                  <c:v>55.309184148077399</c:v>
                </c:pt>
                <c:pt idx="111">
                  <c:v>56.307964695318972</c:v>
                </c:pt>
                <c:pt idx="112">
                  <c:v>57.314989938303825</c:v>
                </c:pt>
                <c:pt idx="113">
                  <c:v>58.330236076236424</c:v>
                </c:pt>
                <c:pt idx="114">
                  <c:v>59.353679241673142</c:v>
                </c:pt>
                <c:pt idx="115">
                  <c:v>60.385295501057037</c:v>
                </c:pt>
                <c:pt idx="116">
                  <c:v>61.425060855254337</c:v>
                </c:pt>
                <c:pt idx="117">
                  <c:v>62.47295124009247</c:v>
                </c:pt>
                <c:pt idx="118">
                  <c:v>63.528942526899662</c:v>
                </c:pt>
                <c:pt idx="119">
                  <c:v>64.593010523046019</c:v>
                </c:pt>
                <c:pt idx="120">
                  <c:v>65.665130972486068</c:v>
                </c:pt>
                <c:pt idx="121">
                  <c:v>66.745279556302677</c:v>
                </c:pt>
                <c:pt idx="122">
                  <c:v>67.83343189325231</c:v>
                </c:pt>
                <c:pt idx="123">
                  <c:v>68.929563540311605</c:v>
                </c:pt>
                <c:pt idx="124">
                  <c:v>70.033649993225183</c:v>
                </c:pt>
                <c:pt idx="125">
                  <c:v>71.145666687054643</c:v>
                </c:pt>
                <c:pt idx="126">
                  <c:v>72.265588996728738</c:v>
                </c:pt>
                <c:pt idx="127">
                  <c:v>73.393392237594597</c:v>
                </c:pt>
                <c:pt idx="128">
                  <c:v>74.529051665970073</c:v>
                </c:pt>
                <c:pt idx="129">
                  <c:v>75.672542479697015</c:v>
                </c:pt>
                <c:pt idx="130">
                  <c:v>76.823839818695589</c:v>
                </c:pt>
                <c:pt idx="131">
                  <c:v>77.982918765519429</c:v>
                </c:pt>
                <c:pt idx="132">
                  <c:v>79.149754345911731</c:v>
                </c:pt>
                <c:pt idx="133">
                  <c:v>80.324321529362109</c:v>
                </c:pt>
                <c:pt idx="134">
                  <c:v>81.506595229664228</c:v>
                </c:pt>
                <c:pt idx="135">
                  <c:v>82.696550305474233</c:v>
                </c:pt>
                <c:pt idx="136">
                  <c:v>83.894161560869762</c:v>
                </c:pt>
                <c:pt idx="137">
                  <c:v>85.099403745909711</c:v>
                </c:pt>
                <c:pt idx="138">
                  <c:v>86.312251557194514</c:v>
                </c:pt>
                <c:pt idx="139">
                  <c:v>87.532679638426984</c:v>
                </c:pt>
                <c:pt idx="140">
                  <c:v>88.760662580973701</c:v>
                </c:pt>
                <c:pt idx="141">
                  <c:v>89.996174924426839</c:v>
                </c:pt>
                <c:pt idx="142">
                  <c:v>91.239191157166431</c:v>
                </c:pt>
                <c:pt idx="143">
                  <c:v>92.489685716922949</c:v>
                </c:pt>
                <c:pt idx="144">
                  <c:v>93.747632991340325</c:v>
                </c:pt>
                <c:pt idx="145">
                  <c:v>95.013007318539195</c:v>
                </c:pt>
                <c:pt idx="146">
                  <c:v>96.285782987680406</c:v>
                </c:pt>
                <c:pt idx="147">
                  <c:v>97.565934239528715</c:v>
                </c:pt>
                <c:pt idx="148">
                  <c:v>98.853435267016707</c:v>
                </c:pt>
                <c:pt idx="149">
                  <c:v>100.14826021580879</c:v>
                </c:pt>
                <c:pt idx="150">
                  <c:v>101.4503831848653</c:v>
                </c:pt>
                <c:pt idx="151">
                  <c:v>102.75977870337555</c:v>
                </c:pt>
                <c:pt idx="152">
                  <c:v>104.07642220799519</c:v>
                </c:pt>
                <c:pt idx="153">
                  <c:v>105.40028956721328</c:v>
                </c:pt>
                <c:pt idx="154">
                  <c:v>106.73135660539145</c:v>
                </c:pt>
                <c:pt idx="155">
                  <c:v>108.06959910328152</c:v>
                </c:pt>
                <c:pt idx="156">
                  <c:v>109.41499279854293</c:v>
                </c:pt>
                <c:pt idx="157">
                  <c:v>110.76751338626035</c:v>
                </c:pt>
                <c:pt idx="158">
                  <c:v>112.12713651946125</c:v>
                </c:pt>
                <c:pt idx="159">
                  <c:v>113.49383780963328</c:v>
                </c:pt>
                <c:pt idx="160">
                  <c:v>114.86759282724171</c:v>
                </c:pt>
                <c:pt idx="161">
                  <c:v>116.24837710224668</c:v>
                </c:pt>
                <c:pt idx="162">
                  <c:v>117.63616612462026</c:v>
                </c:pt>
                <c:pt idx="163">
                  <c:v>119.03093534486334</c:v>
                </c:pt>
                <c:pt idx="164">
                  <c:v>120.43266017452231</c:v>
                </c:pt>
                <c:pt idx="165">
                  <c:v>121.84131598670542</c:v>
                </c:pt>
                <c:pt idx="166">
                  <c:v>123.25687811659891</c:v>
                </c:pt>
                <c:pt idx="167">
                  <c:v>124.67932186198271</c:v>
                </c:pt>
                <c:pt idx="168">
                  <c:v>126.10862248374589</c:v>
                </c:pt>
                <c:pt idx="169">
                  <c:v>127.54475520640162</c:v>
                </c:pt>
                <c:pt idx="170">
                  <c:v>128.98769521860174</c:v>
                </c:pt>
                <c:pt idx="171">
                  <c:v>130.43741767365088</c:v>
                </c:pt>
                <c:pt idx="172">
                  <c:v>131.89389769002003</c:v>
                </c:pt>
                <c:pt idx="173">
                  <c:v>133.35711035185963</c:v>
                </c:pt>
                <c:pt idx="174">
                  <c:v>134.82703070951212</c:v>
                </c:pt>
                <c:pt idx="175">
                  <c:v>136.30363378002377</c:v>
                </c:pt>
                <c:pt idx="176">
                  <c:v>137.78689454765609</c:v>
                </c:pt>
                <c:pt idx="177">
                  <c:v>139.27678796439642</c:v>
                </c:pt>
                <c:pt idx="178">
                  <c:v>140.77328895046787</c:v>
                </c:pt>
                <c:pt idx="179">
                  <c:v>142.27637239483866</c:v>
                </c:pt>
                <c:pt idx="180">
                  <c:v>143.78601315573053</c:v>
                </c:pt>
                <c:pt idx="181">
                  <c:v>145.30218606112652</c:v>
                </c:pt>
                <c:pt idx="182">
                  <c:v>146.82486590927783</c:v>
                </c:pt>
                <c:pt idx="183">
                  <c:v>148.35402746921005</c:v>
                </c:pt>
                <c:pt idx="184">
                  <c:v>149.88964548122823</c:v>
                </c:pt>
                <c:pt idx="185">
                  <c:v>151.4316946574213</c:v>
                </c:pt>
                <c:pt idx="186">
                  <c:v>152.98014968216546</c:v>
                </c:pt>
                <c:pt idx="187">
                  <c:v>154.53498521262662</c:v>
                </c:pt>
                <c:pt idx="188">
                  <c:v>156.09617587926195</c:v>
                </c:pt>
                <c:pt idx="189">
                  <c:v>157.66369628632029</c:v>
                </c:pt>
                <c:pt idx="190">
                  <c:v>159.2375210123416</c:v>
                </c:pt>
                <c:pt idx="191">
                  <c:v>160.81762461065537</c:v>
                </c:pt>
                <c:pt idx="192">
                  <c:v>162.40398160987789</c:v>
                </c:pt>
                <c:pt idx="193">
                  <c:v>163.99656651440847</c:v>
                </c:pt>
                <c:pt idx="194">
                  <c:v>165.5953538049244</c:v>
                </c:pt>
                <c:pt idx="195">
                  <c:v>167.20031793887486</c:v>
                </c:pt>
                <c:pt idx="196">
                  <c:v>168.8114333509736</c:v>
                </c:pt>
                <c:pt idx="197">
                  <c:v>170.42867445369035</c:v>
                </c:pt>
                <c:pt idx="198">
                  <c:v>172.05201563774108</c:v>
                </c:pt>
                <c:pt idx="199">
                  <c:v>173.68143127257684</c:v>
                </c:pt>
                <c:pt idx="200">
                  <c:v>175.31689570687146</c:v>
                </c:pt>
                <c:pt idx="201">
                  <c:v>176.95838326900787</c:v>
                </c:pt>
                <c:pt idx="202">
                  <c:v>178.60586826756301</c:v>
                </c:pt>
                <c:pt idx="203">
                  <c:v>180.25932499179146</c:v>
                </c:pt>
                <c:pt idx="204">
                  <c:v>181.91872771210757</c:v>
                </c:pt>
                <c:pt idx="205">
                  <c:v>183.58405068056635</c:v>
                </c:pt>
                <c:pt idx="206">
                  <c:v>185.25526813134272</c:v>
                </c:pt>
                <c:pt idx="207">
                  <c:v>186.9323542812094</c:v>
                </c:pt>
                <c:pt idx="208">
                  <c:v>188.61528333001326</c:v>
                </c:pt>
                <c:pt idx="209">
                  <c:v>190.30402946115024</c:v>
                </c:pt>
                <c:pt idx="210">
                  <c:v>191.99856684203863</c:v>
                </c:pt>
                <c:pt idx="211">
                  <c:v>193.69886962459091</c:v>
                </c:pt>
                <c:pt idx="212">
                  <c:v>195.40491194568389</c:v>
                </c:pt>
                <c:pt idx="213">
                  <c:v>197.11666792762733</c:v>
                </c:pt>
                <c:pt idx="214">
                  <c:v>198.8341116786309</c:v>
                </c:pt>
                <c:pt idx="215">
                  <c:v>200.55721729326956</c:v>
                </c:pt>
                <c:pt idx="216">
                  <c:v>202.28595885294718</c:v>
                </c:pt>
                <c:pt idx="217">
                  <c:v>204.02031042635855</c:v>
                </c:pt>
                <c:pt idx="218">
                  <c:v>205.76024606994966</c:v>
                </c:pt>
                <c:pt idx="219">
                  <c:v>207.50573982837628</c:v>
                </c:pt>
                <c:pt idx="220">
                  <c:v>209.25676573496077</c:v>
                </c:pt>
                <c:pt idx="221">
                  <c:v>211.01329781214707</c:v>
                </c:pt>
                <c:pt idx="222">
                  <c:v>212.77531007195412</c:v>
                </c:pt>
                <c:pt idx="223">
                  <c:v>214.54277651642712</c:v>
                </c:pt>
                <c:pt idx="224">
                  <c:v>216.3156711380874</c:v>
                </c:pt>
                <c:pt idx="225">
                  <c:v>218.09396792038007</c:v>
                </c:pt>
                <c:pt idx="226">
                  <c:v>219.87764083812004</c:v>
                </c:pt>
                <c:pt idx="227">
                  <c:v>221.66666385793613</c:v>
                </c:pt>
                <c:pt idx="228">
                  <c:v>223.46101093871317</c:v>
                </c:pt>
                <c:pt idx="229">
                  <c:v>225.26065603203241</c:v>
                </c:pt>
                <c:pt idx="230">
                  <c:v>227.0655730826098</c:v>
                </c:pt>
                <c:pt idx="231">
                  <c:v>228.87573602873238</c:v>
                </c:pt>
                <c:pt idx="232">
                  <c:v>230.69111880269281</c:v>
                </c:pt>
                <c:pt idx="233">
                  <c:v>232.5116953312218</c:v>
                </c:pt>
                <c:pt idx="234">
                  <c:v>234.33743953591861</c:v>
                </c:pt>
                <c:pt idx="235">
                  <c:v>236.16832533367955</c:v>
                </c:pt>
                <c:pt idx="236">
                  <c:v>238.00432663712445</c:v>
                </c:pt>
                <c:pt idx="237">
                  <c:v>239.84541735502106</c:v>
                </c:pt>
                <c:pt idx="238">
                  <c:v>241.69157139270743</c:v>
                </c:pt>
                <c:pt idx="239">
                  <c:v>243.54276265251227</c:v>
                </c:pt>
                <c:pt idx="240">
                  <c:v>245.3989650341731</c:v>
                </c:pt>
                <c:pt idx="241">
                  <c:v>247.26015243525245</c:v>
                </c:pt>
                <c:pt idx="242">
                  <c:v>249.12629875155187</c:v>
                </c:pt>
                <c:pt idx="243">
                  <c:v>250.99737787752386</c:v>
                </c:pt>
                <c:pt idx="244">
                  <c:v>252.87336370668154</c:v>
                </c:pt>
                <c:pt idx="245">
                  <c:v>254.75423013200646</c:v>
                </c:pt>
                <c:pt idx="246">
                  <c:v>256.63995104635393</c:v>
                </c:pt>
                <c:pt idx="247">
                  <c:v>258.53050034285627</c:v>
                </c:pt>
                <c:pt idx="248">
                  <c:v>260.42585191532413</c:v>
                </c:pt>
                <c:pt idx="249">
                  <c:v>262.32597965864528</c:v>
                </c:pt>
                <c:pt idx="250">
                  <c:v>264.23085746918122</c:v>
                </c:pt>
                <c:pt idx="251">
                  <c:v>266.14045718176595</c:v>
                </c:pt>
                <c:pt idx="252">
                  <c:v>268.05474650729258</c:v>
                </c:pt>
                <c:pt idx="253">
                  <c:v>269.97369109921055</c:v>
                </c:pt>
                <c:pt idx="254">
                  <c:v>271.89725661950831</c:v>
                </c:pt>
                <c:pt idx="255">
                  <c:v>273.82540873925308</c:v>
                </c:pt>
                <c:pt idx="256">
                  <c:v>275.75811313912669</c:v>
                </c:pt>
                <c:pt idx="257">
                  <c:v>277.69533550995772</c:v>
                </c:pt>
                <c:pt idx="258">
                  <c:v>279.63704155324962</c:v>
                </c:pt>
                <c:pt idx="259">
                  <c:v>281.58319698170516</c:v>
                </c:pt>
                <c:pt idx="260">
                  <c:v>283.53376751974656</c:v>
                </c:pt>
                <c:pt idx="261">
                  <c:v>285.48871890403223</c:v>
                </c:pt>
                <c:pt idx="262">
                  <c:v>287.4480168839691</c:v>
                </c:pt>
                <c:pt idx="263">
                  <c:v>289.41162722222134</c:v>
                </c:pt>
                <c:pt idx="264">
                  <c:v>291.37951569521499</c:v>
                </c:pt>
                <c:pt idx="265">
                  <c:v>293.35164809363869</c:v>
                </c:pt>
                <c:pt idx="266">
                  <c:v>295.3279902229404</c:v>
                </c:pt>
                <c:pt idx="267">
                  <c:v>297.30850790382021</c:v>
                </c:pt>
                <c:pt idx="268">
                  <c:v>299.29316697271912</c:v>
                </c:pt>
                <c:pt idx="269">
                  <c:v>301.28193328230378</c:v>
                </c:pt>
                <c:pt idx="270">
                  <c:v>303.27477270194743</c:v>
                </c:pt>
                <c:pt idx="271">
                  <c:v>305.27165111820659</c:v>
                </c:pt>
                <c:pt idx="272">
                  <c:v>307.27253443529395</c:v>
                </c:pt>
                <c:pt idx="273">
                  <c:v>309.27738857554709</c:v>
                </c:pt>
                <c:pt idx="274">
                  <c:v>311.28617947989329</c:v>
                </c:pt>
                <c:pt idx="275">
                  <c:v>313.29887310831026</c:v>
                </c:pt>
                <c:pt idx="276">
                  <c:v>315.31543544028278</c:v>
                </c:pt>
                <c:pt idx="277">
                  <c:v>317.33583247525559</c:v>
                </c:pt>
                <c:pt idx="278">
                  <c:v>319.36003023308183</c:v>
                </c:pt>
                <c:pt idx="279">
                  <c:v>321.38799475446774</c:v>
                </c:pt>
                <c:pt idx="280">
                  <c:v>323.41969210141315</c:v>
                </c:pt>
                <c:pt idx="281">
                  <c:v>325.45508835764809</c:v>
                </c:pt>
                <c:pt idx="282">
                  <c:v>327.49414962906519</c:v>
                </c:pt>
                <c:pt idx="283">
                  <c:v>329.53684204414816</c:v>
                </c:pt>
                <c:pt idx="284">
                  <c:v>331.58313175439616</c:v>
                </c:pt>
                <c:pt idx="285">
                  <c:v>333.632984934744</c:v>
                </c:pt>
                <c:pt idx="286">
                  <c:v>335.68636778397848</c:v>
                </c:pt>
                <c:pt idx="287">
                  <c:v>337.74324652515071</c:v>
                </c:pt>
                <c:pt idx="288">
                  <c:v>339.8035874059841</c:v>
                </c:pt>
                <c:pt idx="289">
                  <c:v>341.86735669927856</c:v>
                </c:pt>
                <c:pt idx="290">
                  <c:v>343.93452070331045</c:v>
                </c:pt>
                <c:pt idx="291">
                  <c:v>346.00504574222879</c:v>
                </c:pt>
                <c:pt idx="292">
                  <c:v>348.07889816644706</c:v>
                </c:pt>
                <c:pt idx="293">
                  <c:v>350.15604435303106</c:v>
                </c:pt>
                <c:pt idx="294">
                  <c:v>352.23645070608296</c:v>
                </c:pt>
                <c:pt idx="295">
                  <c:v>354.32008365712102</c:v>
                </c:pt>
                <c:pt idx="296">
                  <c:v>356.40690966545532</c:v>
                </c:pt>
                <c:pt idx="297">
                  <c:v>358.49689521855964</c:v>
                </c:pt>
                <c:pt idx="298">
                  <c:v>360.58998415449764</c:v>
                </c:pt>
                <c:pt idx="299">
                  <c:v>362.68607500132788</c:v>
                </c:pt>
                <c:pt idx="300">
                  <c:v>364.78504370338925</c:v>
                </c:pt>
                <c:pt idx="301">
                  <c:v>366.88676633188766</c:v>
                </c:pt>
                <c:pt idx="302">
                  <c:v>368.99111908780071</c:v>
                </c:pt>
                <c:pt idx="303">
                  <c:v>371.09797830473372</c:v>
                </c:pt>
                <c:pt idx="304">
                  <c:v>373.20722045172681</c:v>
                </c:pt>
                <c:pt idx="305">
                  <c:v>375.3187221360136</c:v>
                </c:pt>
                <c:pt idx="306">
                  <c:v>377.43236010573077</c:v>
                </c:pt>
                <c:pt idx="307">
                  <c:v>379.54801125257933</c:v>
                </c:pt>
                <c:pt idx="308">
                  <c:v>381.66555261443722</c:v>
                </c:pt>
                <c:pt idx="309">
                  <c:v>383.78486137792322</c:v>
                </c:pt>
                <c:pt idx="310">
                  <c:v>385.90581488091277</c:v>
                </c:pt>
                <c:pt idx="311">
                  <c:v>388.02829061500518</c:v>
                </c:pt>
                <c:pt idx="312">
                  <c:v>390.15216622794281</c:v>
                </c:pt>
                <c:pt idx="313">
                  <c:v>392.27731952598191</c:v>
                </c:pt>
                <c:pt idx="314">
                  <c:v>394.40362847621572</c:v>
                </c:pt>
                <c:pt idx="315">
                  <c:v>396.53097120884934</c:v>
                </c:pt>
                <c:pt idx="316">
                  <c:v>398.65922601942714</c:v>
                </c:pt>
                <c:pt idx="317">
                  <c:v>400.78827137101251</c:v>
                </c:pt>
                <c:pt idx="318">
                  <c:v>402.91798589631998</c:v>
                </c:pt>
                <c:pt idx="319">
                  <c:v>405.0482483998</c:v>
                </c:pt>
                <c:pt idx="320">
                  <c:v>407.17893785967692</c:v>
                </c:pt>
                <c:pt idx="321">
                  <c:v>409.30994245174696</c:v>
                </c:pt>
                <c:pt idx="322">
                  <c:v>411.44116856093797</c:v>
                </c:pt>
                <c:pt idx="323">
                  <c:v>413.5725317339955</c:v>
                </c:pt>
                <c:pt idx="324">
                  <c:v>415.70394764381774</c:v>
                </c:pt>
                <c:pt idx="325">
                  <c:v>417.83533209027809</c:v>
                </c:pt>
                <c:pt idx="326">
                  <c:v>419.96660100102559</c:v>
                </c:pt>
                <c:pt idx="327">
                  <c:v>422.09767043226282</c:v>
                </c:pt>
                <c:pt idx="328">
                  <c:v>424.22845656950165</c:v>
                </c:pt>
                <c:pt idx="329">
                  <c:v>426.35887572829688</c:v>
                </c:pt>
                <c:pt idx="330">
                  <c:v>428.48884435495768</c:v>
                </c:pt>
                <c:pt idx="331">
                  <c:v>430.61827902723746</c:v>
                </c:pt>
                <c:pt idx="332">
                  <c:v>432.74709645500178</c:v>
                </c:pt>
                <c:pt idx="333">
                  <c:v>434.87521348087472</c:v>
                </c:pt>
                <c:pt idx="334">
                  <c:v>437.00254708086362</c:v>
                </c:pt>
                <c:pt idx="335">
                  <c:v>439.12901436496276</c:v>
                </c:pt>
                <c:pt idx="336">
                  <c:v>441.25453257773552</c:v>
                </c:pt>
                <c:pt idx="337">
                  <c:v>443.37901909887557</c:v>
                </c:pt>
                <c:pt idx="338">
                  <c:v>445.502391443747</c:v>
                </c:pt>
                <c:pt idx="339">
                  <c:v>447.62456726390383</c:v>
                </c:pt>
                <c:pt idx="340">
                  <c:v>449.74546434758861</c:v>
                </c:pt>
                <c:pt idx="341">
                  <c:v>451.86500062021059</c:v>
                </c:pt>
                <c:pt idx="342">
                  <c:v>453.98309414480337</c:v>
                </c:pt>
                <c:pt idx="343">
                  <c:v>456.09966312246235</c:v>
                </c:pt>
                <c:pt idx="344">
                  <c:v>458.21462589276217</c:v>
                </c:pt>
                <c:pt idx="345">
                  <c:v>460.32790093415389</c:v>
                </c:pt>
                <c:pt idx="346">
                  <c:v>462.43940686434246</c:v>
                </c:pt>
                <c:pt idx="347">
                  <c:v>464.54906244064449</c:v>
                </c:pt>
                <c:pt idx="348">
                  <c:v>466.65678753332219</c:v>
                </c:pt>
                <c:pt idx="349">
                  <c:v>468.7625040971709</c:v>
                </c:pt>
                <c:pt idx="350">
                  <c:v>470.86613519528169</c:v>
                </c:pt>
                <c:pt idx="351">
                  <c:v>472.96760402448331</c:v>
                </c:pt>
                <c:pt idx="352">
                  <c:v>475.06683391554833</c:v>
                </c:pt>
                <c:pt idx="353">
                  <c:v>477.16374833338222</c:v>
                </c:pt>
                <c:pt idx="354">
                  <c:v>479.2582708771958</c:v>
                </c:pt>
                <c:pt idx="355">
                  <c:v>481.35032528066102</c:v>
                </c:pt>
                <c:pt idx="356">
                  <c:v>483.43983541205017</c:v>
                </c:pt>
                <c:pt idx="357">
                  <c:v>485.52672527435868</c:v>
                </c:pt>
                <c:pt idx="358">
                  <c:v>487.61091900541163</c:v>
                </c:pt>
                <c:pt idx="359">
                  <c:v>489.69234087795428</c:v>
                </c:pt>
                <c:pt idx="360">
                  <c:v>491.77093553390154</c:v>
                </c:pt>
                <c:pt idx="361">
                  <c:v>493.84668817973602</c:v>
                </c:pt>
                <c:pt idx="362">
                  <c:v>495.9196042751081</c:v>
                </c:pt>
                <c:pt idx="363">
                  <c:v>497.98968926029153</c:v>
                </c:pt>
                <c:pt idx="364">
                  <c:v>500.05694855627439</c:v>
                </c:pt>
                <c:pt idx="365">
                  <c:v>502.12138756484978</c:v>
                </c:pt>
                <c:pt idx="366">
                  <c:v>504.18301166870566</c:v>
                </c:pt>
                <c:pt idx="367">
                  <c:v>506.24182623151427</c:v>
                </c:pt>
                <c:pt idx="368">
                  <c:v>508.29783659802104</c:v>
                </c:pt>
                <c:pt idx="369">
                  <c:v>510.35104809413309</c:v>
                </c:pt>
                <c:pt idx="370">
                  <c:v>512.40146602700702</c:v>
                </c:pt>
                <c:pt idx="371">
                  <c:v>514.44909568513606</c:v>
                </c:pt>
                <c:pt idx="372">
                  <c:v>516.49394233843725</c:v>
                </c:pt>
                <c:pt idx="373">
                  <c:v>518.53601123833755</c:v>
                </c:pt>
                <c:pt idx="374">
                  <c:v>520.57530761785961</c:v>
                </c:pt>
                <c:pt idx="375">
                  <c:v>522.61183669170714</c:v>
                </c:pt>
                <c:pt idx="376">
                  <c:v>524.64560365634975</c:v>
                </c:pt>
                <c:pt idx="377">
                  <c:v>526.67661369010727</c:v>
                </c:pt>
                <c:pt idx="378">
                  <c:v>528.70487195323358</c:v>
                </c:pt>
                <c:pt idx="379">
                  <c:v>530.73038358799965</c:v>
                </c:pt>
                <c:pt idx="380">
                  <c:v>532.75315371877684</c:v>
                </c:pt>
                <c:pt idx="381">
                  <c:v>534.77318745211903</c:v>
                </c:pt>
                <c:pt idx="382">
                  <c:v>536.79048987684439</c:v>
                </c:pt>
                <c:pt idx="383">
                  <c:v>538.805066064117</c:v>
                </c:pt>
                <c:pt idx="384">
                  <c:v>540.81692106752757</c:v>
                </c:pt>
                <c:pt idx="385">
                  <c:v>542.82605992317428</c:v>
                </c:pt>
                <c:pt idx="386">
                  <c:v>544.83248764974223</c:v>
                </c:pt>
                <c:pt idx="387">
                  <c:v>546.83620924858349</c:v>
                </c:pt>
                <c:pt idx="388">
                  <c:v>548.83722970379586</c:v>
                </c:pt>
                <c:pt idx="389">
                  <c:v>550.83555398230158</c:v>
                </c:pt>
                <c:pt idx="390">
                  <c:v>552.83118703392563</c:v>
                </c:pt>
                <c:pt idx="391">
                  <c:v>554.82413379147317</c:v>
                </c:pt>
                <c:pt idx="392">
                  <c:v>556.81439917080706</c:v>
                </c:pt>
                <c:pt idx="393">
                  <c:v>558.80198807092449</c:v>
                </c:pt>
                <c:pt idx="394">
                  <c:v>560.78690537403361</c:v>
                </c:pt>
                <c:pt idx="395">
                  <c:v>562.76915594562934</c:v>
                </c:pt>
                <c:pt idx="396">
                  <c:v>564.74874463456877</c:v>
                </c:pt>
                <c:pt idx="397">
                  <c:v>566.72567627314641</c:v>
                </c:pt>
                <c:pt idx="398">
                  <c:v>568.69995567716887</c:v>
                </c:pt>
                <c:pt idx="399">
                  <c:v>570.67158764602891</c:v>
                </c:pt>
                <c:pt idx="400">
                  <c:v>572.64057696277939</c:v>
                </c:pt>
                <c:pt idx="401">
                  <c:v>592.18549350761486</c:v>
                </c:pt>
                <c:pt idx="402">
                  <c:v>611.46921243368888</c:v>
                </c:pt>
                <c:pt idx="403">
                  <c:v>630.49636102394959</c:v>
                </c:pt>
                <c:pt idx="404">
                  <c:v>649.27141264638954</c:v>
                </c:pt>
                <c:pt idx="405">
                  <c:v>667.79869344364818</c:v>
                </c:pt>
                <c:pt idx="406">
                  <c:v>686.08238865773217</c:v>
                </c:pt>
                <c:pt idx="407">
                  <c:v>704.12654861358737</c:v>
                </c:pt>
                <c:pt idx="408">
                  <c:v>721.93509438346666</c:v>
                </c:pt>
                <c:pt idx="409">
                  <c:v>739.51182315240021</c:v>
                </c:pt>
                <c:pt idx="410">
                  <c:v>756.86041330357705</c:v>
                </c:pt>
                <c:pt idx="411">
                  <c:v>773.98442924107337</c:v>
                </c:pt>
                <c:pt idx="412">
                  <c:v>790.88732596610384</c:v>
                </c:pt>
                <c:pt idx="413">
                  <c:v>807.57245342181614</c:v>
                </c:pt>
                <c:pt idx="414">
                  <c:v>824.04306062058674</c:v>
                </c:pt>
                <c:pt idx="415">
                  <c:v>840.30229956679887</c:v>
                </c:pt>
                <c:pt idx="416">
                  <c:v>856.35322898718391</c:v>
                </c:pt>
                <c:pt idx="417">
                  <c:v>872.19881787997917</c:v>
                </c:pt>
                <c:pt idx="418">
                  <c:v>887.84194889339108</c:v>
                </c:pt>
                <c:pt idx="419">
                  <c:v>903.28542154314675</c:v>
                </c:pt>
                <c:pt idx="420">
                  <c:v>918.53195527826665</c:v>
                </c:pt>
                <c:pt idx="421">
                  <c:v>933.58419240358751</c:v>
                </c:pt>
                <c:pt idx="422">
                  <c:v>948.44470086700926</c:v>
                </c:pt>
                <c:pt idx="423">
                  <c:v>963.11597691892212</c:v>
                </c:pt>
                <c:pt idx="424">
                  <c:v>977.60044765079431</c:v>
                </c:pt>
                <c:pt idx="425">
                  <c:v>991.90047341945569</c:v>
                </c:pt>
                <c:pt idx="426">
                  <c:v>1006.0183501632029</c:v>
                </c:pt>
                <c:pt idx="427">
                  <c:v>1019.9563116154685</c:v>
                </c:pt>
                <c:pt idx="428">
                  <c:v>1033.7165314214442</c:v>
                </c:pt>
                <c:pt idx="429">
                  <c:v>1047.3011251627154</c:v>
                </c:pt>
                <c:pt idx="430">
                  <c:v>1060.7121522946593</c:v>
                </c:pt>
                <c:pt idx="431">
                  <c:v>1073.9516180010737</c:v>
                </c:pt>
                <c:pt idx="432">
                  <c:v>1087.0214749702345</c:v>
                </c:pt>
                <c:pt idx="433">
                  <c:v>1099.9236250963349</c:v>
                </c:pt>
                <c:pt idx="434">
                  <c:v>1112.6599211100258</c:v>
                </c:pt>
                <c:pt idx="435">
                  <c:v>1125.232168141561</c:v>
                </c:pt>
                <c:pt idx="436">
                  <c:v>1137.6421252198504</c:v>
                </c:pt>
                <c:pt idx="437">
                  <c:v>1149.8915067105336</c:v>
                </c:pt>
                <c:pt idx="438">
                  <c:v>1161.9819836960107</c:v>
                </c:pt>
                <c:pt idx="439">
                  <c:v>1173.9151853002038</c:v>
                </c:pt>
                <c:pt idx="440">
                  <c:v>1185.6926999606637</c:v>
                </c:pt>
                <c:pt idx="441">
                  <c:v>1197.316076650498</c:v>
                </c:pt>
                <c:pt idx="442">
                  <c:v>1208.7868260524549</c:v>
                </c:pt>
                <c:pt idx="443">
                  <c:v>1220.1064216873735</c:v>
                </c:pt>
                <c:pt idx="444">
                  <c:v>1231.2763009990917</c:v>
                </c:pt>
                <c:pt idx="445">
                  <c:v>1242.2978663977879</c:v>
                </c:pt>
                <c:pt idx="446">
                  <c:v>1253.1724862636329</c:v>
                </c:pt>
                <c:pt idx="447">
                  <c:v>1263.9014959125245</c:v>
                </c:pt>
                <c:pt idx="448">
                  <c:v>1274.4861985255855</c:v>
                </c:pt>
                <c:pt idx="449">
                  <c:v>1284.9278660440209</c:v>
                </c:pt>
                <c:pt idx="450">
                  <c:v>1295.2277400308456</c:v>
                </c:pt>
                <c:pt idx="451">
                  <c:v>1305.3870325009163</c:v>
                </c:pt>
                <c:pt idx="452">
                  <c:v>1315.4069267206296</c:v>
                </c:pt>
                <c:pt idx="453">
                  <c:v>1325.2885779785781</c:v>
                </c:pt>
                <c:pt idx="454">
                  <c:v>1335.0331143283943</c:v>
                </c:pt>
                <c:pt idx="455">
                  <c:v>1344.6416373049469</c:v>
                </c:pt>
                <c:pt idx="456">
                  <c:v>1354.115222615</c:v>
                </c:pt>
                <c:pt idx="457">
                  <c:v>1363.4549208033889</c:v>
                </c:pt>
                <c:pt idx="458">
                  <c:v>1372.6617578957166</c:v>
                </c:pt>
                <c:pt idx="459">
                  <c:v>1381.7367360185258</c:v>
                </c:pt>
                <c:pt idx="460">
                  <c:v>1390.6808339978538</c:v>
                </c:pt>
                <c:pt idx="461">
                  <c:v>1399.4950079370371</c:v>
                </c:pt>
                <c:pt idx="462">
                  <c:v>1408.1801917745895</c:v>
                </c:pt>
                <c:pt idx="463">
                  <c:v>1416.7372978229394</c:v>
                </c:pt>
                <c:pt idx="464">
                  <c:v>1425.1672172887738</c:v>
                </c:pt>
                <c:pt idx="465">
                  <c:v>1433.4708207757055</c:v>
                </c:pt>
                <c:pt idx="466">
                  <c:v>1441.6489587699409</c:v>
                </c:pt>
                <c:pt idx="467">
                  <c:v>1449.7024621096004</c:v>
                </c:pt>
                <c:pt idx="468">
                  <c:v>1457.6321424383116</c:v>
                </c:pt>
                <c:pt idx="469">
                  <c:v>1465.4387926436639</c:v>
                </c:pt>
                <c:pt idx="470">
                  <c:v>1473.1231872810949</c:v>
                </c:pt>
                <c:pt idx="471">
                  <c:v>1480.6860829837428</c:v>
                </c:pt>
                <c:pt idx="472">
                  <c:v>1488.1282188587847</c:v>
                </c:pt>
                <c:pt idx="473">
                  <c:v>1495.450316870752</c:v>
                </c:pt>
                <c:pt idx="474">
                  <c:v>1502.653082212295</c:v>
                </c:pt>
                <c:pt idx="475">
                  <c:v>1509.7372036628467</c:v>
                </c:pt>
                <c:pt idx="476">
                  <c:v>1516.7033539356175</c:v>
                </c:pt>
                <c:pt idx="477">
                  <c:v>1523.5521900133333</c:v>
                </c:pt>
                <c:pt idx="478">
                  <c:v>1530.2843534731123</c:v>
                </c:pt>
                <c:pt idx="479">
                  <c:v>1536.9004708008583</c:v>
                </c:pt>
                <c:pt idx="480">
                  <c:v>1543.4011536955327</c:v>
                </c:pt>
                <c:pt idx="481">
                  <c:v>1549.7869993636527</c:v>
                </c:pt>
                <c:pt idx="482">
                  <c:v>1556.0585908043474</c:v>
                </c:pt>
                <c:pt idx="483">
                  <c:v>1562.2164970852923</c:v>
                </c:pt>
                <c:pt idx="484">
                  <c:v>1568.261273609826</c:v>
                </c:pt>
                <c:pt idx="485">
                  <c:v>1574.1934623755446</c:v>
                </c:pt>
                <c:pt idx="486">
                  <c:v>1580.0135922246543</c:v>
                </c:pt>
                <c:pt idx="487">
                  <c:v>1585.7221790863534</c:v>
                </c:pt>
                <c:pt idx="488">
                  <c:v>1591.3197262115032</c:v>
                </c:pt>
                <c:pt idx="489">
                  <c:v>1596.8067243998385</c:v>
                </c:pt>
                <c:pt idx="490">
                  <c:v>1602.1836522199583</c:v>
                </c:pt>
                <c:pt idx="491">
                  <c:v>1607.4509762223272</c:v>
                </c:pt>
                <c:pt idx="492">
                  <c:v>1612.6091511455127</c:v>
                </c:pt>
                <c:pt idx="493">
                  <c:v>1617.6586201158718</c:v>
                </c:pt>
                <c:pt idx="494">
                  <c:v>1622.5998148408971</c:v>
                </c:pt>
                <c:pt idx="495">
                  <c:v>1627.4331557964208</c:v>
                </c:pt>
                <c:pt idx="496">
                  <c:v>1632.1590524078749</c:v>
                </c:pt>
                <c:pt idx="497">
                  <c:v>1636.7779032257945</c:v>
                </c:pt>
                <c:pt idx="498">
                  <c:v>1641.2900960957481</c:v>
                </c:pt>
                <c:pt idx="499">
                  <c:v>1645.6960083228769</c:v>
                </c:pt>
                <c:pt idx="500">
                  <c:v>1649.9960068312148</c:v>
                </c:pt>
                <c:pt idx="501">
                  <c:v>1654.1904483179653</c:v>
                </c:pt>
                <c:pt idx="502">
                  <c:v>1658.2796794029023</c:v>
                </c:pt>
                <c:pt idx="503">
                  <c:v>1662.2640367730639</c:v>
                </c:pt>
                <c:pt idx="504">
                  <c:v>1666.1438473229077</c:v>
                </c:pt>
                <c:pt idx="505">
                  <c:v>1669.9194282900933</c:v>
                </c:pt>
                <c:pt idx="506">
                  <c:v>1673.5910873870635</c:v>
                </c:pt>
                <c:pt idx="507">
                  <c:v>1677.1591229285948</c:v>
                </c:pt>
                <c:pt idx="508">
                  <c:v>1680.6238239554948</c:v>
                </c:pt>
                <c:pt idx="509">
                  <c:v>1683.9854703546293</c:v>
                </c:pt>
                <c:pt idx="510">
                  <c:v>1687.2443329754726</c:v>
                </c:pt>
                <c:pt idx="511">
                  <c:v>1690.4006737433815</c:v>
                </c:pt>
                <c:pt idx="512">
                  <c:v>1693.4547457698134</c:v>
                </c:pt>
                <c:pt idx="513">
                  <c:v>1696.4067934597226</c:v>
                </c:pt>
                <c:pt idx="514">
                  <c:v>1699.2570526163961</c:v>
                </c:pt>
                <c:pt idx="515">
                  <c:v>1702.0057505440125</c:v>
                </c:pt>
                <c:pt idx="516">
                  <c:v>1704.6531061482497</c:v>
                </c:pt>
                <c:pt idx="517">
                  <c:v>1707.1993300353047</c:v>
                </c:pt>
                <c:pt idx="518">
                  <c:v>1709.6446246097444</c:v>
                </c:pt>
                <c:pt idx="519">
                  <c:v>1711.9891841716701</c:v>
                </c:pt>
                <c:pt idx="520">
                  <c:v>1714.2331950137577</c:v>
                </c:pt>
                <c:pt idx="521">
                  <c:v>1716.3768355188322</c:v>
                </c:pt>
                <c:pt idx="522">
                  <c:v>1718.4202762587543</c:v>
                </c:pt>
                <c:pt idx="523">
                  <c:v>1720.3636800955376</c:v>
                </c:pt>
                <c:pt idx="524">
                  <c:v>1722.2072022857917</c:v>
                </c:pt>
                <c:pt idx="525">
                  <c:v>1723.9509905897944</c:v>
                </c:pt>
                <c:pt idx="526">
                  <c:v>1725.595185386748</c:v>
                </c:pt>
                <c:pt idx="527">
                  <c:v>1727.1399197980766</c:v>
                </c:pt>
                <c:pt idx="528">
                  <c:v>1728.5853198209711</c:v>
                </c:pt>
                <c:pt idx="529">
                  <c:v>1729.9315044748018</c:v>
                </c:pt>
                <c:pt idx="530">
                  <c:v>1731.1785859634831</c:v>
                </c:pt>
                <c:pt idx="531">
                  <c:v>1732.3266698573898</c:v>
                </c:pt>
                <c:pt idx="532">
                  <c:v>1733.3758552989702</c:v>
                </c:pt>
                <c:pt idx="533">
                  <c:v>1734.3262352367467</c:v>
                </c:pt>
                <c:pt idx="534">
                  <c:v>1735.1778966928709</c:v>
                </c:pt>
                <c:pt idx="535">
                  <c:v>1735.9309210697518</c:v>
                </c:pt>
                <c:pt idx="536">
                  <c:v>1736.5853845013453</c:v>
                </c:pt>
                <c:pt idx="537">
                  <c:v>1737.1413582543898</c:v>
                </c:pt>
                <c:pt idx="538">
                  <c:v>1737.5989091839881</c:v>
                </c:pt>
                <c:pt idx="539">
                  <c:v>1737.9581002463735</c:v>
                </c:pt>
                <c:pt idx="540">
                  <c:v>1738.2189910693464</c:v>
                </c:pt>
                <c:pt idx="541">
                  <c:v>1738.3816385777759</c:v>
                </c:pt>
                <c:pt idx="542">
                  <c:v>1738.4460976679284</c:v>
                </c:pt>
                <c:pt idx="543">
                  <c:v>1738.4124219205919</c:v>
                </c:pt>
                <c:pt idx="544">
                  <c:v>1738.2806643395397</c:v>
                </c:pt>
                <c:pt idx="545">
                  <c:v>1738.050878099385</c:v>
                </c:pt>
                <c:pt idx="546">
                  <c:v>1737.7231172857796</c:v>
                </c:pt>
                <c:pt idx="547">
                  <c:v>1737.2974376114098</c:v>
                </c:pt>
                <c:pt idx="548">
                  <c:v>1736.7738970932637</c:v>
                </c:pt>
                <c:pt idx="549">
                  <c:v>1736.1525566797786</c:v>
                </c:pt>
                <c:pt idx="550">
                  <c:v>1735.4334808202129</c:v>
                </c:pt>
                <c:pt idx="551">
                  <c:v>1734.6167379723433</c:v>
                </c:pt>
                <c:pt idx="552">
                  <c:v>1733.702401047924</c:v>
                </c:pt>
                <c:pt idx="553">
                  <c:v>1732.690547797991</c:v>
                </c:pt>
                <c:pt idx="554">
                  <c:v>1731.5812611419547</c:v>
                </c:pt>
                <c:pt idx="555">
                  <c:v>1730.3746294455411</c:v>
                </c:pt>
                <c:pt idx="556">
                  <c:v>1729.070746753142</c:v>
                </c:pt>
                <c:pt idx="557">
                  <c:v>1727.6697129801762</c:v>
                </c:pt>
                <c:pt idx="558">
                  <c:v>1726.1716340707965</c:v>
                </c:pt>
                <c:pt idx="559">
                  <c:v>1724.5766221258236</c:v>
                </c:pt>
                <c:pt idx="560">
                  <c:v>1722.8847955052559</c:v>
                </c:pt>
                <c:pt idx="561">
                  <c:v>1721.0962789091393</c:v>
                </c:pt>
                <c:pt idx="562">
                  <c:v>1719.2112034400557</c:v>
                </c:pt>
                <c:pt idx="563">
                  <c:v>1717.2297066499855</c:v>
                </c:pt>
                <c:pt idx="564">
                  <c:v>1715.1519325738739</c:v>
                </c:pt>
                <c:pt idx="565">
                  <c:v>1712.9780317518462</c:v>
                </c:pt>
                <c:pt idx="566">
                  <c:v>1710.7081612416973</c:v>
                </c:pt>
                <c:pt idx="567">
                  <c:v>1708.34248462301</c:v>
                </c:pt>
                <c:pt idx="568">
                  <c:v>1705.8811719940261</c:v>
                </c:pt>
                <c:pt idx="569">
                  <c:v>1703.3243999622084</c:v>
                </c:pt>
                <c:pt idx="570">
                  <c:v>1700.6723516292752</c:v>
                </c:pt>
                <c:pt idx="571">
                  <c:v>1697.9252165713579</c:v>
                </c:pt>
                <c:pt idx="572">
                  <c:v>1695.0831908148277</c:v>
                </c:pt>
                <c:pt idx="573">
                  <c:v>1692.1464768082503</c:v>
                </c:pt>
                <c:pt idx="574">
                  <c:v>1689.1152833908536</c:v>
                </c:pt>
                <c:pt idx="575">
                  <c:v>1685.9898257578357</c:v>
                </c:pt>
                <c:pt idx="576">
                  <c:v>1682.7703254227908</c:v>
                </c:pt>
                <c:pt idx="577">
                  <c:v>1679.4570101774893</c:v>
                </c:pt>
                <c:pt idx="578">
                  <c:v>1676.0501140492172</c:v>
                </c:pt>
                <c:pt idx="579">
                  <c:v>1672.5498772558487</c:v>
                </c:pt>
                <c:pt idx="580">
                  <c:v>1668.9565461588081</c:v>
                </c:pt>
                <c:pt idx="581">
                  <c:v>1665.2703732140496</c:v>
                </c:pt>
                <c:pt idx="582">
                  <c:v>1661.491616921179</c:v>
                </c:pt>
                <c:pt idx="583">
                  <c:v>1657.6205417708159</c:v>
                </c:pt>
                <c:pt idx="584">
                  <c:v>1653.6574181902931</c:v>
                </c:pt>
                <c:pt idx="585">
                  <c:v>1649.6025224877774</c:v>
                </c:pt>
                <c:pt idx="586">
                  <c:v>1645.4561367948838</c:v>
                </c:pt>
                <c:pt idx="587">
                  <c:v>1641.2185490078584</c:v>
                </c:pt>
                <c:pt idx="588">
                  <c:v>1636.8900527273881</c:v>
                </c:pt>
                <c:pt idx="589">
                  <c:v>1632.4709471971014</c:v>
                </c:pt>
                <c:pt idx="590">
                  <c:v>1627.9615372408105</c:v>
                </c:pt>
                <c:pt idx="591">
                  <c:v>1623.362133198551</c:v>
                </c:pt>
                <c:pt idx="592">
                  <c:v>1618.6730508614653</c:v>
                </c:pt>
                <c:pt idx="593">
                  <c:v>1613.8946114055764</c:v>
                </c:pt>
                <c:pt idx="594">
                  <c:v>1609.027141324498</c:v>
                </c:pt>
                <c:pt idx="595">
                  <c:v>1604.0709723611224</c:v>
                </c:pt>
                <c:pt idx="596">
                  <c:v>1599.0264414383273</c:v>
                </c:pt>
                <c:pt idx="597">
                  <c:v>1593.8938905887414</c:v>
                </c:pt>
                <c:pt idx="598">
                  <c:v>1588.6736668836077</c:v>
                </c:pt>
                <c:pt idx="599">
                  <c:v>1583.3661223607819</c:v>
                </c:pt>
                <c:pt idx="600">
                  <c:v>1577.9716139519039</c:v>
                </c:pt>
                <c:pt idx="601">
                  <c:v>1572.490503408776</c:v>
                </c:pt>
                <c:pt idx="602">
                  <c:v>1566.9231572289857</c:v>
                </c:pt>
                <c:pt idx="603">
                  <c:v>1561.2699465808071</c:v>
                </c:pt>
                <c:pt idx="604">
                  <c:v>1555.5312472274147</c:v>
                </c:pt>
                <c:pt idx="605">
                  <c:v>1549.7074394504455</c:v>
                </c:pt>
                <c:pt idx="606">
                  <c:v>1543.7989079729393</c:v>
                </c:pt>
                <c:pt idx="607">
                  <c:v>1537.8060418816954</c:v>
                </c:pt>
                <c:pt idx="608">
                  <c:v>1531.729234549073</c:v>
                </c:pt>
                <c:pt idx="609">
                  <c:v>1525.568883554273</c:v>
                </c:pt>
                <c:pt idx="610">
                  <c:v>1519.3253906041291</c:v>
                </c:pt>
                <c:pt idx="611">
                  <c:v>1512.9991614534433</c:v>
                </c:pt>
                <c:pt idx="612">
                  <c:v>1506.590605824895</c:v>
                </c:pt>
                <c:pt idx="613">
                  <c:v>1500.1001373285574</c:v>
                </c:pt>
                <c:pt idx="614">
                  <c:v>1493.5281733810496</c:v>
                </c:pt>
                <c:pt idx="615">
                  <c:v>1486.8751351243586</c:v>
                </c:pt>
                <c:pt idx="616">
                  <c:v>1480.1414473443585</c:v>
                </c:pt>
                <c:pt idx="617">
                  <c:v>1473.3275383890591</c:v>
                </c:pt>
                <c:pt idx="618">
                  <c:v>1466.4338400866138</c:v>
                </c:pt>
                <c:pt idx="619">
                  <c:v>1459.4607876631162</c:v>
                </c:pt>
                <c:pt idx="620">
                  <c:v>1452.4088196602154</c:v>
                </c:pt>
                <c:pt idx="621">
                  <c:v>1445.2783778525786</c:v>
                </c:pt>
                <c:pt idx="622">
                  <c:v>1438.0699071652305</c:v>
                </c:pt>
                <c:pt idx="623">
                  <c:v>1430.7838555907986</c:v>
                </c:pt>
                <c:pt idx="624">
                  <c:v>1423.4206741066916</c:v>
                </c:pt>
                <c:pt idx="625">
                  <c:v>1415.98081659224</c:v>
                </c:pt>
                <c:pt idx="626">
                  <c:v>1408.4647397458264</c:v>
                </c:pt>
                <c:pt idx="627">
                  <c:v>1400.8729030020334</c:v>
                </c:pt>
                <c:pt idx="628">
                  <c:v>1393.205768448835</c:v>
                </c:pt>
                <c:pt idx="629">
                  <c:v>1385.46380074486</c:v>
                </c:pt>
                <c:pt idx="630">
                  <c:v>1377.6474670367525</c:v>
                </c:pt>
                <c:pt idx="631">
                  <c:v>1369.7572368766569</c:v>
                </c:pt>
                <c:pt idx="632">
                  <c:v>1361.7935821398512</c:v>
                </c:pt>
                <c:pt idx="633">
                  <c:v>1353.7569769425572</c:v>
                </c:pt>
                <c:pt idx="634">
                  <c:v>1345.6478975599487</c:v>
                </c:pt>
                <c:pt idx="635">
                  <c:v>1337.4668223443855</c:v>
                </c:pt>
                <c:pt idx="636">
                  <c:v>1329.2142316438969</c:v>
                </c:pt>
                <c:pt idx="637">
                  <c:v>1320.8906077209367</c:v>
                </c:pt>
                <c:pt idx="638">
                  <c:v>1312.4964346714348</c:v>
                </c:pt>
                <c:pt idx="639">
                  <c:v>1304.0321983441695</c:v>
                </c:pt>
                <c:pt idx="640">
                  <c:v>1295.4983862604802</c:v>
                </c:pt>
                <c:pt idx="641">
                  <c:v>1286.8954875343447</c:v>
                </c:pt>
                <c:pt idx="642">
                  <c:v>1278.2239927928438</c:v>
                </c:pt>
                <c:pt idx="643">
                  <c:v>1269.4843940970311</c:v>
                </c:pt>
                <c:pt idx="644">
                  <c:v>1260.6771848632334</c:v>
                </c:pt>
                <c:pt idx="645">
                  <c:v>1251.8028597847979</c:v>
                </c:pt>
                <c:pt idx="646">
                  <c:v>1242.8619147543097</c:v>
                </c:pt>
                <c:pt idx="647">
                  <c:v>1233.8548467862972</c:v>
                </c:pt>
                <c:pt idx="648">
                  <c:v>1224.7821539404447</c:v>
                </c:pt>
                <c:pt idx="649">
                  <c:v>1215.6443352453314</c:v>
                </c:pt>
                <c:pt idx="650">
                  <c:v>1206.4418906227152</c:v>
                </c:pt>
                <c:pt idx="651">
                  <c:v>1197.1753208123778</c:v>
                </c:pt>
                <c:pt idx="652">
                  <c:v>1187.8451272975499</c:v>
                </c:pt>
                <c:pt idx="653">
                  <c:v>1178.4518122309316</c:v>
                </c:pt>
                <c:pt idx="654">
                  <c:v>1168.9958783613265</c:v>
                </c:pt>
                <c:pt idx="655">
                  <c:v>1159.4778289609026</c:v>
                </c:pt>
                <c:pt idx="656">
                  <c:v>1149.8981677530976</c:v>
                </c:pt>
                <c:pt idx="657">
                  <c:v>1140.2573988411832</c:v>
                </c:pt>
                <c:pt idx="658">
                  <c:v>1130.5560266375005</c:v>
                </c:pt>
                <c:pt idx="659">
                  <c:v>1120.7945557933838</c:v>
                </c:pt>
                <c:pt idx="660">
                  <c:v>1110.973491129784</c:v>
                </c:pt>
                <c:pt idx="661">
                  <c:v>1101.093337568605</c:v>
                </c:pt>
                <c:pt idx="662">
                  <c:v>1091.1546000647654</c:v>
                </c:pt>
                <c:pt idx="663">
                  <c:v>1081.1577835389985</c:v>
                </c:pt>
                <c:pt idx="664">
                  <c:v>1071.1033928114002</c:v>
                </c:pt>
                <c:pt idx="665">
                  <c:v>1060.9919325357382</c:v>
                </c:pt>
                <c:pt idx="666">
                  <c:v>1050.8239071345313</c:v>
                </c:pt>
                <c:pt idx="667">
                  <c:v>1040.5998207349087</c:v>
                </c:pt>
                <c:pt idx="668">
                  <c:v>1030.3201771052607</c:v>
                </c:pt>
                <c:pt idx="669">
                  <c:v>1019.985479592688</c:v>
                </c:pt>
                <c:pt idx="670">
                  <c:v>1009.5962310612599</c:v>
                </c:pt>
                <c:pt idx="671">
                  <c:v>999.15293383108769</c:v>
                </c:pt>
                <c:pt idx="672">
                  <c:v>988.65608961822284</c:v>
                </c:pt>
                <c:pt idx="673">
                  <c:v>978.10619947538635</c:v>
                </c:pt>
                <c:pt idx="674">
                  <c:v>967.50376373353618</c:v>
                </c:pt>
                <c:pt idx="675">
                  <c:v>956.84928194427926</c:v>
                </c:pt>
                <c:pt idx="676">
                  <c:v>946.14325282313382</c:v>
                </c:pt>
                <c:pt idx="677">
                  <c:v>935.38617419364789</c:v>
                </c:pt>
                <c:pt idx="678">
                  <c:v>924.57854293237881</c:v>
                </c:pt>
                <c:pt idx="679">
                  <c:v>913.7208549147382</c:v>
                </c:pt>
                <c:pt idx="680">
                  <c:v>902.81360496170691</c:v>
                </c:pt>
                <c:pt idx="681">
                  <c:v>891.85728678742407</c:v>
                </c:pt>
                <c:pt idx="682">
                  <c:v>880.85239294765222</c:v>
                </c:pt>
                <c:pt idx="683">
                  <c:v>869.79941478912338</c:v>
                </c:pt>
                <c:pt idx="684">
                  <c:v>858.69884239976716</c:v>
                </c:pt>
                <c:pt idx="685">
                  <c:v>847.55116455982375</c:v>
                </c:pt>
                <c:pt idx="686">
                  <c:v>836.35686869384358</c:v>
                </c:pt>
                <c:pt idx="687">
                  <c:v>825.11644082357418</c:v>
                </c:pt>
                <c:pt idx="688">
                  <c:v>813.83036552173689</c:v>
                </c:pt>
                <c:pt idx="689">
                  <c:v>802.49912586669234</c:v>
                </c:pt>
                <c:pt idx="690">
                  <c:v>791.12320339799601</c:v>
                </c:pt>
                <c:pt idx="691">
                  <c:v>779.70307807284337</c:v>
                </c:pt>
                <c:pt idx="692">
                  <c:v>768.23922822340421</c:v>
                </c:pt>
                <c:pt idx="693">
                  <c:v>756.73213051504592</c:v>
                </c:pt>
                <c:pt idx="694">
                  <c:v>745.18225990544306</c:v>
                </c:pt>
                <c:pt idx="695">
                  <c:v>733.59008960457379</c:v>
                </c:pt>
                <c:pt idx="696">
                  <c:v>721.9560910355998</c:v>
                </c:pt>
                <c:pt idx="697">
                  <c:v>710.28073379662828</c:v>
                </c:pt>
                <c:pt idx="698">
                  <c:v>698.56448562335356</c:v>
                </c:pt>
                <c:pt idx="699">
                  <c:v>686.8078123525753</c:v>
                </c:pt>
                <c:pt idx="700">
                  <c:v>675.01117788659064</c:v>
                </c:pt>
                <c:pt idx="701">
                  <c:v>663.17504415845667</c:v>
                </c:pt>
                <c:pt idx="702">
                  <c:v>651.29987109812009</c:v>
                </c:pt>
                <c:pt idx="703">
                  <c:v>639.38611659940921</c:v>
                </c:pt>
                <c:pt idx="704">
                  <c:v>627.43423648788576</c:v>
                </c:pt>
                <c:pt idx="705">
                  <c:v>615.44468448955035</c:v>
                </c:pt>
                <c:pt idx="706">
                  <c:v>603.41791220039818</c:v>
                </c:pt>
                <c:pt idx="707">
                  <c:v>591.35436905681945</c:v>
                </c:pt>
                <c:pt idx="708">
                  <c:v>579.25450230683987</c:v>
                </c:pt>
                <c:pt idx="709">
                  <c:v>567.11875698219558</c:v>
                </c:pt>
                <c:pt idx="710">
                  <c:v>554.9475758712365</c:v>
                </c:pt>
                <c:pt idx="711">
                  <c:v>542.74139949265316</c:v>
                </c:pt>
                <c:pt idx="712">
                  <c:v>530.50066607002066</c:v>
                </c:pt>
                <c:pt idx="713">
                  <c:v>518.22581150715303</c:v>
                </c:pt>
                <c:pt idx="714">
                  <c:v>505.91726936426255</c:v>
                </c:pt>
                <c:pt idx="715">
                  <c:v>493.57547083491659</c:v>
                </c:pt>
                <c:pt idx="716">
                  <c:v>481.20084472378551</c:v>
                </c:pt>
                <c:pt idx="717">
                  <c:v>468.79381742517501</c:v>
                </c:pt>
                <c:pt idx="718">
                  <c:v>456.35481290233514</c:v>
                </c:pt>
                <c:pt idx="719">
                  <c:v>443.88425266753939</c:v>
                </c:pt>
                <c:pt idx="720">
                  <c:v>431.38255576292585</c:v>
                </c:pt>
                <c:pt idx="721">
                  <c:v>418.85013874209352</c:v>
                </c:pt>
                <c:pt idx="722">
                  <c:v>406.28741565244519</c:v>
                </c:pt>
                <c:pt idx="723">
                  <c:v>393.69479801827015</c:v>
                </c:pt>
                <c:pt idx="724">
                  <c:v>381.07269482455757</c:v>
                </c:pt>
                <c:pt idx="725">
                  <c:v>368.4215125015337</c:v>
                </c:pt>
                <c:pt idx="726">
                  <c:v>355.74165490991356</c:v>
                </c:pt>
                <c:pt idx="727">
                  <c:v>343.03352332685989</c:v>
                </c:pt>
                <c:pt idx="728">
                  <c:v>330.29751643263995</c:v>
                </c:pt>
                <c:pt idx="729">
                  <c:v>317.53403029797232</c:v>
                </c:pt>
                <c:pt idx="730">
                  <c:v>304.7434583720551</c:v>
                </c:pt>
                <c:pt idx="731">
                  <c:v>291.92619147126675</c:v>
                </c:pt>
                <c:pt idx="732">
                  <c:v>279.0826177685305</c:v>
                </c:pt>
                <c:pt idx="733">
                  <c:v>266.2131227833342</c:v>
                </c:pt>
                <c:pt idx="734">
                  <c:v>253.31808937239617</c:v>
                </c:pt>
                <c:pt idx="735">
                  <c:v>240.39789772096847</c:v>
                </c:pt>
                <c:pt idx="736">
                  <c:v>227.45292533476845</c:v>
                </c:pt>
                <c:pt idx="737">
                  <c:v>214.4835470325296</c:v>
                </c:pt>
                <c:pt idx="738">
                  <c:v>201.49013493916263</c:v>
                </c:pt>
                <c:pt idx="739">
                  <c:v>188.47305847951776</c:v>
                </c:pt>
                <c:pt idx="740">
                  <c:v>175.43268437273889</c:v>
                </c:pt>
                <c:pt idx="741">
                  <c:v>162.36937662720084</c:v>
                </c:pt>
                <c:pt idx="742">
                  <c:v>149.28349653601992</c:v>
                </c:pt>
                <c:pt idx="743">
                  <c:v>136.17540267312941</c:v>
                </c:pt>
                <c:pt idx="744">
                  <c:v>123.0454508899099</c:v>
                </c:pt>
                <c:pt idx="745">
                  <c:v>109.89399431236589</c:v>
                </c:pt>
                <c:pt idx="746">
                  <c:v>96.721383338839203</c:v>
                </c:pt>
                <c:pt idx="747">
                  <c:v>83.527965638249938</c:v>
                </c:pt>
                <c:pt idx="748">
                  <c:v>70.314086148855893</c:v>
                </c:pt>
                <c:pt idx="749">
                  <c:v>57.080087077521057</c:v>
                </c:pt>
                <c:pt idx="750">
                  <c:v>43.826307899484235</c:v>
                </c:pt>
                <c:pt idx="751">
                  <c:v>30.553085358618382</c:v>
                </c:pt>
                <c:pt idx="752">
                  <c:v>17.260753468171636</c:v>
                </c:pt>
                <c:pt idx="753">
                  <c:v>3.949643511980895</c:v>
                </c:pt>
                <c:pt idx="754">
                  <c:v>-9.3799159538512082</c:v>
                </c:pt>
                <c:pt idx="755">
                  <c:v>-9.3932546652544051</c:v>
                </c:pt>
                <c:pt idx="756">
                  <c:v>-9.406593394618886</c:v>
                </c:pt>
                <c:pt idx="757">
                  <c:v>-9.4199321419443311</c:v>
                </c:pt>
                <c:pt idx="758">
                  <c:v>-9.4332709072304173</c:v>
                </c:pt>
                <c:pt idx="759">
                  <c:v>-9.4466096904768246</c:v>
                </c:pt>
                <c:pt idx="760">
                  <c:v>-9.4599484916832317</c:v>
                </c:pt>
                <c:pt idx="761">
                  <c:v>-9.4732873108493187</c:v>
                </c:pt>
                <c:pt idx="762">
                  <c:v>-9.4866261479747624</c:v>
                </c:pt>
                <c:pt idx="763">
                  <c:v>-9.4999650030592431</c:v>
                </c:pt>
                <c:pt idx="764">
                  <c:v>-9.5133038761024391</c:v>
                </c:pt>
                <c:pt idx="765">
                  <c:v>-9.526642767104029</c:v>
                </c:pt>
                <c:pt idx="766">
                  <c:v>-9.5399816760636913</c:v>
                </c:pt>
                <c:pt idx="767">
                  <c:v>-9.5533206029811044</c:v>
                </c:pt>
                <c:pt idx="768">
                  <c:v>-9.5666595478559486</c:v>
                </c:pt>
                <c:pt idx="769">
                  <c:v>-9.5799985106879024</c:v>
                </c:pt>
                <c:pt idx="770">
                  <c:v>-9.5933374914766443</c:v>
                </c:pt>
                <c:pt idx="771">
                  <c:v>-9.6066764902218544</c:v>
                </c:pt>
                <c:pt idx="772">
                  <c:v>-9.6200155069232096</c:v>
                </c:pt>
                <c:pt idx="773">
                  <c:v>-9.6333545415803901</c:v>
                </c:pt>
                <c:pt idx="774">
                  <c:v>-9.6466935941930743</c:v>
                </c:pt>
                <c:pt idx="775">
                  <c:v>-9.6600326647609407</c:v>
                </c:pt>
                <c:pt idx="776">
                  <c:v>-9.6733717532836696</c:v>
                </c:pt>
                <c:pt idx="777">
                  <c:v>-9.6867108597609377</c:v>
                </c:pt>
                <c:pt idx="778">
                  <c:v>-9.7000499841924253</c:v>
                </c:pt>
                <c:pt idx="779">
                  <c:v>-9.7133891265778125</c:v>
                </c:pt>
                <c:pt idx="780">
                  <c:v>-9.7267282869167762</c:v>
                </c:pt>
                <c:pt idx="781">
                  <c:v>-9.7400674652089965</c:v>
                </c:pt>
                <c:pt idx="782">
                  <c:v>-9.7534066614541519</c:v>
                </c:pt>
                <c:pt idx="783">
                  <c:v>-9.766745875651921</c:v>
                </c:pt>
                <c:pt idx="784">
                  <c:v>-9.7800851078019821</c:v>
                </c:pt>
                <c:pt idx="785">
                  <c:v>-9.7934243579040157</c:v>
                </c:pt>
                <c:pt idx="786">
                  <c:v>-9.8067636259577</c:v>
                </c:pt>
                <c:pt idx="787">
                  <c:v>-9.8201029119627137</c:v>
                </c:pt>
                <c:pt idx="788">
                  <c:v>-9.8334422159187351</c:v>
                </c:pt>
                <c:pt idx="789">
                  <c:v>-9.8467815378254446</c:v>
                </c:pt>
                <c:pt idx="790">
                  <c:v>-9.8601208776825189</c:v>
                </c:pt>
                <c:pt idx="791">
                  <c:v>-9.8734602354896381</c:v>
                </c:pt>
                <c:pt idx="792">
                  <c:v>-9.8867996112464827</c:v>
                </c:pt>
                <c:pt idx="793">
                  <c:v>-9.9001390049527291</c:v>
                </c:pt>
                <c:pt idx="794">
                  <c:v>-9.9134784166080578</c:v>
                </c:pt>
                <c:pt idx="795">
                  <c:v>-9.9268178462121472</c:v>
                </c:pt>
                <c:pt idx="796">
                  <c:v>-9.9401572937646776</c:v>
                </c:pt>
                <c:pt idx="797">
                  <c:v>-9.9534967592653256</c:v>
                </c:pt>
                <c:pt idx="798">
                  <c:v>-9.9668362427137716</c:v>
                </c:pt>
                <c:pt idx="799">
                  <c:v>-9.9801757441096939</c:v>
                </c:pt>
                <c:pt idx="800">
                  <c:v>-9.9935152634527729</c:v>
                </c:pt>
                <c:pt idx="801">
                  <c:v>-10.006854800742685</c:v>
                </c:pt>
                <c:pt idx="802">
                  <c:v>-10.020194355979111</c:v>
                </c:pt>
                <c:pt idx="803">
                  <c:v>-10.033533929161731</c:v>
                </c:pt>
                <c:pt idx="804">
                  <c:v>-10.046873520290221</c:v>
                </c:pt>
                <c:pt idx="805">
                  <c:v>-10.060213129364262</c:v>
                </c:pt>
                <c:pt idx="806">
                  <c:v>-10.073552756383533</c:v>
                </c:pt>
                <c:pt idx="807">
                  <c:v>-10.086892401347711</c:v>
                </c:pt>
                <c:pt idx="808">
                  <c:v>-10.100232064256478</c:v>
                </c:pt>
                <c:pt idx="809">
                  <c:v>-10.11357174510951</c:v>
                </c:pt>
                <c:pt idx="810">
                  <c:v>-10.126911443906488</c:v>
                </c:pt>
                <c:pt idx="811">
                  <c:v>-10.14025116064709</c:v>
                </c:pt>
                <c:pt idx="812">
                  <c:v>-10.153590895330995</c:v>
                </c:pt>
                <c:pt idx="813">
                  <c:v>-10.166930647957882</c:v>
                </c:pt>
                <c:pt idx="814">
                  <c:v>-10.18027041852743</c:v>
                </c:pt>
                <c:pt idx="815">
                  <c:v>-10.193610207039319</c:v>
                </c:pt>
                <c:pt idx="816">
                  <c:v>-10.206950013493227</c:v>
                </c:pt>
                <c:pt idx="817">
                  <c:v>-10.220289837888833</c:v>
                </c:pt>
                <c:pt idx="818">
                  <c:v>-10.233629680225816</c:v>
                </c:pt>
                <c:pt idx="819">
                  <c:v>-10.246969540503855</c:v>
                </c:pt>
                <c:pt idx="820">
                  <c:v>-10.260309418722629</c:v>
                </c:pt>
                <c:pt idx="821">
                  <c:v>-10.273649314881817</c:v>
                </c:pt>
                <c:pt idx="822">
                  <c:v>-10.286989228981099</c:v>
                </c:pt>
                <c:pt idx="823">
                  <c:v>-10.300329161020153</c:v>
                </c:pt>
                <c:pt idx="824">
                  <c:v>-10.313669110998658</c:v>
                </c:pt>
                <c:pt idx="825">
                  <c:v>-10.327009078916292</c:v>
                </c:pt>
                <c:pt idx="826">
                  <c:v>-10.340349064772736</c:v>
                </c:pt>
                <c:pt idx="827">
                  <c:v>-10.353689068567668</c:v>
                </c:pt>
                <c:pt idx="828">
                  <c:v>-10.367029090300768</c:v>
                </c:pt>
                <c:pt idx="829">
                  <c:v>-10.380369129971715</c:v>
                </c:pt>
                <c:pt idx="830">
                  <c:v>-10.393709187580187</c:v>
                </c:pt>
                <c:pt idx="831">
                  <c:v>-10.407049263125863</c:v>
                </c:pt>
                <c:pt idx="832">
                  <c:v>-10.420389356608423</c:v>
                </c:pt>
                <c:pt idx="833">
                  <c:v>-10.433729468027545</c:v>
                </c:pt>
                <c:pt idx="834">
                  <c:v>-10.447069597382908</c:v>
                </c:pt>
                <c:pt idx="835">
                  <c:v>-10.460409744674191</c:v>
                </c:pt>
                <c:pt idx="836">
                  <c:v>-10.473749909901073</c:v>
                </c:pt>
                <c:pt idx="837">
                  <c:v>-10.487090093063236</c:v>
                </c:pt>
                <c:pt idx="838">
                  <c:v>-10.500430294160354</c:v>
                </c:pt>
                <c:pt idx="839">
                  <c:v>-10.51377051319211</c:v>
                </c:pt>
                <c:pt idx="840">
                  <c:v>-10.527110750158181</c:v>
                </c:pt>
                <c:pt idx="841">
                  <c:v>-10.540451005058248</c:v>
                </c:pt>
                <c:pt idx="842">
                  <c:v>-10.553791277891989</c:v>
                </c:pt>
                <c:pt idx="843">
                  <c:v>-10.567131568659082</c:v>
                </c:pt>
                <c:pt idx="844">
                  <c:v>-10.580471877359209</c:v>
                </c:pt>
                <c:pt idx="845">
                  <c:v>-10.593812203992044</c:v>
                </c:pt>
                <c:pt idx="846">
                  <c:v>-10.607152548557272</c:v>
                </c:pt>
                <c:pt idx="847">
                  <c:v>-10.620492911054567</c:v>
                </c:pt>
                <c:pt idx="848">
                  <c:v>-10.633833291483612</c:v>
                </c:pt>
                <c:pt idx="849">
                  <c:v>-10.647173689844083</c:v>
                </c:pt>
                <c:pt idx="850">
                  <c:v>-10.660514106135661</c:v>
                </c:pt>
                <c:pt idx="851">
                  <c:v>-10.673854540358025</c:v>
                </c:pt>
                <c:pt idx="852">
                  <c:v>-10.687194992510854</c:v>
                </c:pt>
                <c:pt idx="853">
                  <c:v>-10.700535462593827</c:v>
                </c:pt>
                <c:pt idx="854">
                  <c:v>-10.713875950606621</c:v>
                </c:pt>
                <c:pt idx="855">
                  <c:v>-10.727216456548918</c:v>
                </c:pt>
                <c:pt idx="856">
                  <c:v>-10.740556980420395</c:v>
                </c:pt>
                <c:pt idx="857">
                  <c:v>-10.753897522220733</c:v>
                </c:pt>
                <c:pt idx="858">
                  <c:v>-10.767238081949611</c:v>
                </c:pt>
                <c:pt idx="859">
                  <c:v>-10.780578659606705</c:v>
                </c:pt>
                <c:pt idx="860">
                  <c:v>-10.793919255191698</c:v>
                </c:pt>
                <c:pt idx="861">
                  <c:v>-10.807259868704268</c:v>
                </c:pt>
                <c:pt idx="862">
                  <c:v>-10.820600500144094</c:v>
                </c:pt>
                <c:pt idx="863">
                  <c:v>-10.833941149510855</c:v>
                </c:pt>
                <c:pt idx="864">
                  <c:v>-10.847281816804228</c:v>
                </c:pt>
                <c:pt idx="865">
                  <c:v>-10.860622502023896</c:v>
                </c:pt>
                <c:pt idx="866">
                  <c:v>-10.873963205169535</c:v>
                </c:pt>
                <c:pt idx="867">
                  <c:v>-10.887303926240826</c:v>
                </c:pt>
                <c:pt idx="868">
                  <c:v>-10.900644665237447</c:v>
                </c:pt>
                <c:pt idx="869">
                  <c:v>-10.913985422159078</c:v>
                </c:pt>
                <c:pt idx="870">
                  <c:v>-10.927326197005398</c:v>
                </c:pt>
                <c:pt idx="871">
                  <c:v>-10.940666989776085</c:v>
                </c:pt>
                <c:pt idx="872">
                  <c:v>-10.954007800470819</c:v>
                </c:pt>
                <c:pt idx="873">
                  <c:v>-10.96734862908928</c:v>
                </c:pt>
                <c:pt idx="874">
                  <c:v>-10.980689475631145</c:v>
                </c:pt>
                <c:pt idx="875">
                  <c:v>-10.994030340096096</c:v>
                </c:pt>
                <c:pt idx="876">
                  <c:v>-11.00737122248381</c:v>
                </c:pt>
                <c:pt idx="877">
                  <c:v>-11.020712122793967</c:v>
                </c:pt>
                <c:pt idx="878">
                  <c:v>-11.034053041026246</c:v>
                </c:pt>
                <c:pt idx="879">
                  <c:v>-11.047393977180326</c:v>
                </c:pt>
                <c:pt idx="880">
                  <c:v>-11.060734931255885</c:v>
                </c:pt>
                <c:pt idx="881">
                  <c:v>-11.074075903252604</c:v>
                </c:pt>
                <c:pt idx="882">
                  <c:v>-11.087416893170161</c:v>
                </c:pt>
                <c:pt idx="883">
                  <c:v>-11.100757901008237</c:v>
                </c:pt>
                <c:pt idx="884">
                  <c:v>-11.114098926766509</c:v>
                </c:pt>
                <c:pt idx="885">
                  <c:v>-11.127439970444657</c:v>
                </c:pt>
                <c:pt idx="886">
                  <c:v>-11.14078103204236</c:v>
                </c:pt>
                <c:pt idx="887">
                  <c:v>-11.154122111559298</c:v>
                </c:pt>
                <c:pt idx="888">
                  <c:v>-11.16746320899515</c:v>
                </c:pt>
                <c:pt idx="889">
                  <c:v>-11.180804324349594</c:v>
                </c:pt>
                <c:pt idx="890">
                  <c:v>-11.194145457622311</c:v>
                </c:pt>
                <c:pt idx="891">
                  <c:v>-11.207486608812978</c:v>
                </c:pt>
                <c:pt idx="892">
                  <c:v>-11.220827777921276</c:v>
                </c:pt>
                <c:pt idx="893">
                  <c:v>-11.234168964946884</c:v>
                </c:pt>
                <c:pt idx="894">
                  <c:v>-11.24751016988948</c:v>
                </c:pt>
                <c:pt idx="895">
                  <c:v>-11.260851392748744</c:v>
                </c:pt>
                <c:pt idx="896">
                  <c:v>-11.274192633524356</c:v>
                </c:pt>
                <c:pt idx="897">
                  <c:v>-11.287533892215993</c:v>
                </c:pt>
                <c:pt idx="898">
                  <c:v>-11.300875168823337</c:v>
                </c:pt>
                <c:pt idx="899">
                  <c:v>-11.314216463346066</c:v>
                </c:pt>
                <c:pt idx="900">
                  <c:v>-11.327557775783859</c:v>
                </c:pt>
                <c:pt idx="901">
                  <c:v>-11.340899106136394</c:v>
                </c:pt>
                <c:pt idx="902">
                  <c:v>-11.354240454403353</c:v>
                </c:pt>
                <c:pt idx="903">
                  <c:v>-11.367581820584414</c:v>
                </c:pt>
                <c:pt idx="904">
                  <c:v>-11.380923204679256</c:v>
                </c:pt>
                <c:pt idx="905">
                  <c:v>-11.394264606687557</c:v>
                </c:pt>
                <c:pt idx="906">
                  <c:v>-11.407606026608997</c:v>
                </c:pt>
                <c:pt idx="907">
                  <c:v>-11.420947464443257</c:v>
                </c:pt>
                <c:pt idx="908">
                  <c:v>-11.434288920190015</c:v>
                </c:pt>
                <c:pt idx="909">
                  <c:v>-11.44763039384895</c:v>
                </c:pt>
                <c:pt idx="910">
                  <c:v>-11.460971885419742</c:v>
                </c:pt>
                <c:pt idx="911">
                  <c:v>-11.474313394902069</c:v>
                </c:pt>
                <c:pt idx="912">
                  <c:v>-11.48765492229561</c:v>
                </c:pt>
                <c:pt idx="913">
                  <c:v>-11.500996467600045</c:v>
                </c:pt>
                <c:pt idx="914">
                  <c:v>-11.514338030815054</c:v>
                </c:pt>
                <c:pt idx="915">
                  <c:v>-11.527679611940316</c:v>
                </c:pt>
                <c:pt idx="916">
                  <c:v>-11.54102121097551</c:v>
                </c:pt>
                <c:pt idx="917">
                  <c:v>-11.554362827920315</c:v>
                </c:pt>
                <c:pt idx="918">
                  <c:v>-11.56770446277441</c:v>
                </c:pt>
                <c:pt idx="919">
                  <c:v>-11.581046115537475</c:v>
                </c:pt>
                <c:pt idx="920">
                  <c:v>-11.59438778620919</c:v>
                </c:pt>
                <c:pt idx="921">
                  <c:v>-11.607729474789233</c:v>
                </c:pt>
                <c:pt idx="922">
                  <c:v>-11.621071181277284</c:v>
                </c:pt>
                <c:pt idx="923">
                  <c:v>-11.63441290567302</c:v>
                </c:pt>
                <c:pt idx="924">
                  <c:v>-11.647754647976123</c:v>
                </c:pt>
                <c:pt idx="925">
                  <c:v>-11.661096408186271</c:v>
                </c:pt>
                <c:pt idx="926">
                  <c:v>-11.674438186303144</c:v>
                </c:pt>
                <c:pt idx="927">
                  <c:v>-11.68777998232642</c:v>
                </c:pt>
                <c:pt idx="928">
                  <c:v>-11.70112179625578</c:v>
                </c:pt>
                <c:pt idx="929">
                  <c:v>-11.714463628090902</c:v>
                </c:pt>
                <c:pt idx="930">
                  <c:v>-11.727805477831467</c:v>
                </c:pt>
                <c:pt idx="931">
                  <c:v>-11.741147345477152</c:v>
                </c:pt>
                <c:pt idx="932">
                  <c:v>-11.754489231027639</c:v>
                </c:pt>
                <c:pt idx="933">
                  <c:v>-11.767831134482606</c:v>
                </c:pt>
                <c:pt idx="934">
                  <c:v>-11.78117305584173</c:v>
                </c:pt>
                <c:pt idx="935">
                  <c:v>-11.794514995104693</c:v>
                </c:pt>
                <c:pt idx="936">
                  <c:v>-11.807856952271175</c:v>
                </c:pt>
                <c:pt idx="937">
                  <c:v>-11.821198927340854</c:v>
                </c:pt>
                <c:pt idx="938">
                  <c:v>-11.834540920313408</c:v>
                </c:pt>
                <c:pt idx="939">
                  <c:v>-11.847882931188519</c:v>
                </c:pt>
                <c:pt idx="940">
                  <c:v>-11.861224959965863</c:v>
                </c:pt>
                <c:pt idx="941">
                  <c:v>-11.874567006645123</c:v>
                </c:pt>
                <c:pt idx="942">
                  <c:v>-11.887909071225977</c:v>
                </c:pt>
                <c:pt idx="943">
                  <c:v>-11.901251153708102</c:v>
                </c:pt>
                <c:pt idx="944">
                  <c:v>-11.914593254091182</c:v>
                </c:pt>
                <c:pt idx="945">
                  <c:v>-11.927935372374893</c:v>
                </c:pt>
                <c:pt idx="946">
                  <c:v>-11.941277508558915</c:v>
                </c:pt>
                <c:pt idx="947">
                  <c:v>-11.954619662642928</c:v>
                </c:pt>
                <c:pt idx="948">
                  <c:v>-11.96796183462661</c:v>
                </c:pt>
                <c:pt idx="949">
                  <c:v>-11.98130402450964</c:v>
                </c:pt>
                <c:pt idx="950">
                  <c:v>-11.9946462322917</c:v>
                </c:pt>
                <c:pt idx="951">
                  <c:v>-12.007988457972466</c:v>
                </c:pt>
                <c:pt idx="952">
                  <c:v>-12.021330701551621</c:v>
                </c:pt>
                <c:pt idx="953">
                  <c:v>-12.034672963028841</c:v>
                </c:pt>
                <c:pt idx="954">
                  <c:v>-12.048015242403807</c:v>
                </c:pt>
                <c:pt idx="955">
                  <c:v>-12.061357539676198</c:v>
                </c:pt>
                <c:pt idx="956">
                  <c:v>-12.074699854845694</c:v>
                </c:pt>
                <c:pt idx="957">
                  <c:v>-12.088042187911974</c:v>
                </c:pt>
                <c:pt idx="958">
                  <c:v>-12.101384538874717</c:v>
                </c:pt>
                <c:pt idx="959">
                  <c:v>-12.114726907733603</c:v>
                </c:pt>
                <c:pt idx="960">
                  <c:v>-12.128069294488311</c:v>
                </c:pt>
                <c:pt idx="961">
                  <c:v>-12.141411699138521</c:v>
                </c:pt>
                <c:pt idx="962">
                  <c:v>-12.154754121683911</c:v>
                </c:pt>
                <c:pt idx="963">
                  <c:v>-12.168096562124163</c:v>
                </c:pt>
                <c:pt idx="964">
                  <c:v>-12.181439020458953</c:v>
                </c:pt>
                <c:pt idx="965">
                  <c:v>-12.194781496687963</c:v>
                </c:pt>
                <c:pt idx="966">
                  <c:v>-12.20812399081087</c:v>
                </c:pt>
                <c:pt idx="967">
                  <c:v>-12.221466502827356</c:v>
                </c:pt>
                <c:pt idx="968">
                  <c:v>-12.234809032737099</c:v>
                </c:pt>
                <c:pt idx="969">
                  <c:v>-12.248151580539778</c:v>
                </c:pt>
                <c:pt idx="970">
                  <c:v>-12.261494146235073</c:v>
                </c:pt>
                <c:pt idx="971">
                  <c:v>-12.274836729822663</c:v>
                </c:pt>
                <c:pt idx="972">
                  <c:v>-12.28817933130223</c:v>
                </c:pt>
                <c:pt idx="973">
                  <c:v>-12.30152195067345</c:v>
                </c:pt>
                <c:pt idx="974">
                  <c:v>-12.314864587936004</c:v>
                </c:pt>
                <c:pt idx="975">
                  <c:v>-12.328207243089571</c:v>
                </c:pt>
                <c:pt idx="976">
                  <c:v>-12.341549916133831</c:v>
                </c:pt>
                <c:pt idx="977">
                  <c:v>-12.354892607068463</c:v>
                </c:pt>
                <c:pt idx="978">
                  <c:v>-12.368235315893145</c:v>
                </c:pt>
                <c:pt idx="979">
                  <c:v>-12.381578042607558</c:v>
                </c:pt>
                <c:pt idx="980">
                  <c:v>-12.394920787211381</c:v>
                </c:pt>
                <c:pt idx="981">
                  <c:v>-12.408263549704294</c:v>
                </c:pt>
                <c:pt idx="982">
                  <c:v>-12.421606330085977</c:v>
                </c:pt>
                <c:pt idx="983">
                  <c:v>-12.434949128356108</c:v>
                </c:pt>
                <c:pt idx="984">
                  <c:v>-12.448291944514366</c:v>
                </c:pt>
                <c:pt idx="985">
                  <c:v>-12.461634778560434</c:v>
                </c:pt>
                <c:pt idx="986">
                  <c:v>-12.474977630493989</c:v>
                </c:pt>
                <c:pt idx="987">
                  <c:v>-12.488320500314709</c:v>
                </c:pt>
                <c:pt idx="988">
                  <c:v>-12.501663388022275</c:v>
                </c:pt>
                <c:pt idx="989">
                  <c:v>-12.515006293616366</c:v>
                </c:pt>
                <c:pt idx="990">
                  <c:v>-12.528349217096663</c:v>
                </c:pt>
                <c:pt idx="991">
                  <c:v>-12.541692158462842</c:v>
                </c:pt>
                <c:pt idx="992">
                  <c:v>-12.555035117714587</c:v>
                </c:pt>
                <c:pt idx="993">
                  <c:v>-12.568378094851573</c:v>
                </c:pt>
                <c:pt idx="994">
                  <c:v>-12.581721089873483</c:v>
                </c:pt>
                <c:pt idx="995">
                  <c:v>-12.595064102779995</c:v>
                </c:pt>
                <c:pt idx="996">
                  <c:v>-12.608407133570788</c:v>
                </c:pt>
                <c:pt idx="997">
                  <c:v>-12.621750182245542</c:v>
                </c:pt>
                <c:pt idx="998">
                  <c:v>-12.635093248803937</c:v>
                </c:pt>
                <c:pt idx="999">
                  <c:v>-12.648436333245652</c:v>
                </c:pt>
                <c:pt idx="1000">
                  <c:v>-12.661779435570367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90-41C6-97FC-918778B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19072"/>
        <c:axId val="149620992"/>
      </c:scatterChart>
      <c:valAx>
        <c:axId val="1496190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620992"/>
        <c:crosses val="autoZero"/>
        <c:crossBetween val="midCat"/>
      </c:valAx>
      <c:valAx>
        <c:axId val="149620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Positions [m]</a:t>
                </a:r>
              </a:p>
            </c:rich>
          </c:tx>
          <c:layout>
            <c:manualLayout>
              <c:xMode val="edge"/>
              <c:yMode val="edge"/>
              <c:x val="2.0047169811320761E-2"/>
              <c:y val="0.30065476815398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496190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86169712276531"/>
          <c:y val="0.4888892388451444"/>
          <c:w val="0.13679257663546773"/>
          <c:h val="0.157777777777777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Propu!$A$2</c:f>
          <c:strCache>
            <c:ptCount val="1"/>
            <c:pt idx="0">
              <c:v>Barasinga (Pro54-5G C)</c:v>
            </c:pt>
          </c:strCache>
        </c:strRef>
      </c:tx>
      <c:layout>
        <c:manualLayout>
          <c:xMode val="edge"/>
          <c:yMode val="edge"/>
          <c:x val="0.47127077646762688"/>
          <c:y val="3.9178592393174498E-2"/>
        </c:manualLayout>
      </c:layout>
      <c:overlay val="0"/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496559551677733E-2"/>
          <c:y val="5.5426586068345711E-2"/>
          <c:w val="0.88973722710617964"/>
          <c:h val="0.82390179871348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Propu!$A$4</c:f>
              <c:strCache>
                <c:ptCount val="1"/>
                <c:pt idx="0">
                  <c:v>Poussée (en N)</c:v>
                </c:pt>
              </c:strCache>
            </c:strRef>
          </c:tx>
          <c:spPr>
            <a:ln w="25400">
              <a:solidFill>
                <a:srgbClr val="004586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4586"/>
              </a:solidFill>
              <a:ln>
                <a:solidFill>
                  <a:srgbClr val="004586"/>
                </a:solidFill>
                <a:prstDash val="solid"/>
              </a:ln>
            </c:spPr>
          </c:marker>
          <c:xVal>
            <c:numRef>
              <c:f>Propu!$B$3:$X$3</c:f>
              <c:numCache>
                <c:formatCode>General</c:formatCode>
                <c:ptCount val="23"/>
                <c:pt idx="0">
                  <c:v>0</c:v>
                </c:pt>
                <c:pt idx="1">
                  <c:v>0.05</c:v>
                </c:pt>
                <c:pt idx="2">
                  <c:v>0.5</c:v>
                </c:pt>
                <c:pt idx="3">
                  <c:v>1</c:v>
                </c:pt>
                <c:pt idx="4">
                  <c:v>1.5</c:v>
                </c:pt>
                <c:pt idx="5">
                  <c:v>2</c:v>
                </c:pt>
                <c:pt idx="6">
                  <c:v>2.5</c:v>
                </c:pt>
                <c:pt idx="7">
                  <c:v>2.97</c:v>
                </c:pt>
                <c:pt idx="8">
                  <c:v>3.2</c:v>
                </c:pt>
                <c:pt idx="9">
                  <c:v>3.47</c:v>
                </c:pt>
                <c:pt idx="10">
                  <c:v>3.59</c:v>
                </c:pt>
                <c:pt idx="11">
                  <c:v>3.59</c:v>
                </c:pt>
                <c:pt idx="12">
                  <c:v>3.59</c:v>
                </c:pt>
                <c:pt idx="13">
                  <c:v>3.59</c:v>
                </c:pt>
                <c:pt idx="14">
                  <c:v>3.59</c:v>
                </c:pt>
                <c:pt idx="15">
                  <c:v>3.59</c:v>
                </c:pt>
                <c:pt idx="16">
                  <c:v>3.59</c:v>
                </c:pt>
                <c:pt idx="17">
                  <c:v>3.59</c:v>
                </c:pt>
                <c:pt idx="18">
                  <c:v>3.59</c:v>
                </c:pt>
                <c:pt idx="19">
                  <c:v>3.59</c:v>
                </c:pt>
                <c:pt idx="20">
                  <c:v>3.59</c:v>
                </c:pt>
                <c:pt idx="21">
                  <c:v>3.59</c:v>
                </c:pt>
                <c:pt idx="22">
                  <c:v>3.59</c:v>
                </c:pt>
              </c:numCache>
            </c:numRef>
          </c:xVal>
          <c:yVal>
            <c:numRef>
              <c:f>Propu!$B$4:$X$4</c:f>
              <c:numCache>
                <c:formatCode>General</c:formatCode>
                <c:ptCount val="23"/>
                <c:pt idx="0">
                  <c:v>0</c:v>
                </c:pt>
                <c:pt idx="1">
                  <c:v>893</c:v>
                </c:pt>
                <c:pt idx="2">
                  <c:v>798</c:v>
                </c:pt>
                <c:pt idx="3">
                  <c:v>739</c:v>
                </c:pt>
                <c:pt idx="4">
                  <c:v>659</c:v>
                </c:pt>
                <c:pt idx="5">
                  <c:v>586</c:v>
                </c:pt>
                <c:pt idx="6">
                  <c:v>513</c:v>
                </c:pt>
                <c:pt idx="7">
                  <c:v>417</c:v>
                </c:pt>
                <c:pt idx="8">
                  <c:v>225</c:v>
                </c:pt>
                <c:pt idx="9">
                  <c:v>67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98-4D3E-A59C-8AF2F5D39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28480"/>
        <c:axId val="193451520"/>
      </c:scatterChart>
      <c:valAx>
        <c:axId val="193428480"/>
        <c:scaling>
          <c:orientation val="minMax"/>
        </c:scaling>
        <c:delete val="0"/>
        <c:axPos val="b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Temps / Time [s]</a:t>
                </a:r>
              </a:p>
            </c:rich>
          </c:tx>
          <c:layout>
            <c:manualLayout>
              <c:xMode val="edge"/>
              <c:yMode val="edge"/>
              <c:x val="0.78665554917523417"/>
              <c:y val="0.68868125417484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93451520"/>
        <c:crosses val="autoZero"/>
        <c:crossBetween val="midCat"/>
      </c:valAx>
      <c:valAx>
        <c:axId val="193451520"/>
        <c:scaling>
          <c:orientation val="minMax"/>
        </c:scaling>
        <c:delete val="0"/>
        <c:axPos val="l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Poussée / Thrust [N]</a:t>
                </a:r>
              </a:p>
            </c:rich>
          </c:tx>
          <c:layout>
            <c:manualLayout>
              <c:xMode val="edge"/>
              <c:yMode val="edge"/>
              <c:x val="8.5144147191391295E-2"/>
              <c:y val="0.353276521668724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93428480"/>
        <c:crosses val="autoZero"/>
        <c:crossBetween val="midCat"/>
      </c:valAx>
      <c:spPr>
        <a:noFill/>
        <a:ln w="3175">
          <a:solidFill>
            <a:srgbClr val="B3B3B3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Abaco!$B$75</c:f>
          <c:strCache>
            <c:ptCount val="1"/>
            <c:pt idx="0">
              <c:v>Vitesse max / Masse totale</c:v>
            </c:pt>
          </c:strCache>
        </c:strRef>
      </c:tx>
      <c:layout>
        <c:manualLayout>
          <c:xMode val="edge"/>
          <c:yMode val="edge"/>
          <c:x val="0.32580555555555563"/>
          <c:y val="3.2407484861159096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8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Abaco!$K$41:$K$49</c:f>
              <c:numCache>
                <c:formatCode>General" m/s"</c:formatCode>
                <c:ptCount val="9"/>
                <c:pt idx="0">
                  <c:v>858.03255877092988</c:v>
                </c:pt>
                <c:pt idx="1">
                  <c:v>594.90798372179017</c:v>
                </c:pt>
                <c:pt idx="2">
                  <c:v>411.46026061292184</c:v>
                </c:pt>
                <c:pt idx="3">
                  <c:v>304.67235982284654</c:v>
                </c:pt>
                <c:pt idx="4">
                  <c:v>237.55974389707052</c:v>
                </c:pt>
                <c:pt idx="5">
                  <c:v>192.05781181978742</c:v>
                </c:pt>
                <c:pt idx="6">
                  <c:v>159.35039022051231</c:v>
                </c:pt>
                <c:pt idx="7">
                  <c:v>134.77085936563637</c:v>
                </c:pt>
                <c:pt idx="8">
                  <c:v>115.65207582366207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5-471B-B048-B774D8756BF8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Abaco!$K$50:$K$58</c:f>
              <c:numCache>
                <c:formatCode>General" m/s"</c:formatCode>
                <c:ptCount val="9"/>
                <c:pt idx="0">
                  <c:v>464.1915134373819</c:v>
                </c:pt>
                <c:pt idx="1">
                  <c:v>420.73113640121181</c:v>
                </c:pt>
                <c:pt idx="2">
                  <c:v>342.12244556875828</c:v>
                </c:pt>
                <c:pt idx="3">
                  <c:v>273.45342441643868</c:v>
                </c:pt>
                <c:pt idx="4">
                  <c:v>221.71852095220871</c:v>
                </c:pt>
                <c:pt idx="5">
                  <c:v>183.23756033996938</c:v>
                </c:pt>
                <c:pt idx="6">
                  <c:v>154.08130005630014</c:v>
                </c:pt>
                <c:pt idx="7">
                  <c:v>131.44880913508683</c:v>
                </c:pt>
                <c:pt idx="8">
                  <c:v>113.4677040602801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5-471B-B048-B774D8756BF8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Abaco!$K$59:$K$67</c:f>
              <c:numCache>
                <c:formatCode>General" m/s"</c:formatCode>
                <c:ptCount val="9"/>
                <c:pt idx="0">
                  <c:v>309.81969976525187</c:v>
                </c:pt>
                <c:pt idx="1">
                  <c:v>300.23197313655521</c:v>
                </c:pt>
                <c:pt idx="2">
                  <c:v>271.83164970302022</c:v>
                </c:pt>
                <c:pt idx="3">
                  <c:v>234.74851540799969</c:v>
                </c:pt>
                <c:pt idx="4">
                  <c:v>199.78316346552987</c:v>
                </c:pt>
                <c:pt idx="5">
                  <c:v>170.20426174596597</c:v>
                </c:pt>
                <c:pt idx="6">
                  <c:v>145.97242979220849</c:v>
                </c:pt>
                <c:pt idx="7">
                  <c:v>126.19753322189929</c:v>
                </c:pt>
                <c:pt idx="8">
                  <c:v>109.95056179782965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85-471B-B048-B774D8756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67904"/>
        <c:axId val="193469824"/>
      </c:scatterChart>
      <c:valAx>
        <c:axId val="193467904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29"/>
              <c:y val="0.80923605680929611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3469824"/>
        <c:crosses val="autoZero"/>
        <c:crossBetween val="midCat"/>
      </c:valAx>
      <c:valAx>
        <c:axId val="193469824"/>
        <c:scaling>
          <c:orientation val="minMax"/>
        </c:scaling>
        <c:delete val="0"/>
        <c:axPos val="l"/>
        <c:majorGridlines/>
        <c:title>
          <c:tx>
            <c:strRef>
              <c:f>Abaco!$B$74</c:f>
              <c:strCache>
                <c:ptCount val="1"/>
                <c:pt idx="0">
                  <c:v>Vitesse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22378207343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/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34679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944466316710431"/>
          <c:y val="0.18706733829172051"/>
          <c:w val="0.20833333333333343"/>
          <c:h val="0.24711352766816386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Abaco!$B$77</c:f>
          <c:strCache>
            <c:ptCount val="1"/>
            <c:pt idx="0">
              <c:v>Altitude max / Masse totale</c:v>
            </c:pt>
          </c:strCache>
        </c:strRef>
      </c:tx>
      <c:layout>
        <c:manualLayout>
          <c:xMode val="edge"/>
          <c:yMode val="edge"/>
          <c:x val="0.32580555555555563"/>
          <c:y val="3.2407517456544362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8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Abaco!$L$41:$L$49</c:f>
              <c:numCache>
                <c:formatCode>General" m"</c:formatCode>
                <c:ptCount val="9"/>
                <c:pt idx="0">
                  <c:v>4140.0163847444119</c:v>
                </c:pt>
                <c:pt idx="1">
                  <c:v>5136.6222939265936</c:v>
                </c:pt>
                <c:pt idx="2">
                  <c:v>4624.4354357903612</c:v>
                </c:pt>
                <c:pt idx="3">
                  <c:v>3627.0864170700515</c:v>
                </c:pt>
                <c:pt idx="4">
                  <c:v>2693.9317468470763</c:v>
                </c:pt>
                <c:pt idx="5">
                  <c:v>1982.9624543746502</c:v>
                </c:pt>
                <c:pt idx="6">
                  <c:v>1476.6813957746597</c:v>
                </c:pt>
                <c:pt idx="7">
                  <c:v>1120.1731572663421</c:v>
                </c:pt>
                <c:pt idx="8">
                  <c:v>866.24534673977723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73-4D65-B3FC-606C75B7CC88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Abaco!$L$50:$L$58</c:f>
              <c:numCache>
                <c:formatCode>General" m"</c:formatCode>
                <c:ptCount val="9"/>
                <c:pt idx="0">
                  <c:v>1919.3279369936813</c:v>
                </c:pt>
                <c:pt idx="1">
                  <c:v>2279.484208535895</c:v>
                </c:pt>
                <c:pt idx="2">
                  <c:v>2303.9686028245601</c:v>
                </c:pt>
                <c:pt idx="3">
                  <c:v>2114.4674939095376</c:v>
                </c:pt>
                <c:pt idx="4">
                  <c:v>1820.6274021925847</c:v>
                </c:pt>
                <c:pt idx="5">
                  <c:v>1506.5439921676716</c:v>
                </c:pt>
                <c:pt idx="6">
                  <c:v>1220.6265780822373</c:v>
                </c:pt>
                <c:pt idx="7">
                  <c:v>981.27803419490363</c:v>
                </c:pt>
                <c:pt idx="8">
                  <c:v>789.27297732777117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73-4D65-B3FC-606C75B7CC88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Abaco!$L$59:$L$67</c:f>
              <c:numCache>
                <c:formatCode>General" m"</c:formatCode>
                <c:ptCount val="9"/>
                <c:pt idx="0">
                  <c:v>1223.8082609744511</c:v>
                </c:pt>
                <c:pt idx="1">
                  <c:v>1387.9423769169885</c:v>
                </c:pt>
                <c:pt idx="2">
                  <c:v>1428.7562532588227</c:v>
                </c:pt>
                <c:pt idx="3">
                  <c:v>1381.3566755771581</c:v>
                </c:pt>
                <c:pt idx="4">
                  <c:v>1272.3323563453205</c:v>
                </c:pt>
                <c:pt idx="5">
                  <c:v>1129.0623988486182</c:v>
                </c:pt>
                <c:pt idx="6">
                  <c:v>975.02136385399672</c:v>
                </c:pt>
                <c:pt idx="7">
                  <c:v>826.78010522965451</c:v>
                </c:pt>
                <c:pt idx="8">
                  <c:v>693.6122154812906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73-4D65-B3FC-606C75B7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12576"/>
        <c:axId val="193514496"/>
      </c:scatterChart>
      <c:valAx>
        <c:axId val="19351257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29"/>
              <c:y val="0.8092359976229385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3514496"/>
        <c:crosses val="autoZero"/>
        <c:crossBetween val="midCat"/>
      </c:valAx>
      <c:valAx>
        <c:axId val="193514496"/>
        <c:scaling>
          <c:orientation val="minMax"/>
        </c:scaling>
        <c:delete val="0"/>
        <c:axPos val="l"/>
        <c:majorGridlines/>
        <c:title>
          <c:tx>
            <c:strRef>
              <c:f>Abaco!$B$76</c:f>
              <c:strCache>
                <c:ptCount val="1"/>
                <c:pt idx="0">
                  <c:v>Altitude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351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944466316710431"/>
          <c:y val="0.18396263556678061"/>
          <c:w val="0.20833333333333343"/>
          <c:h val="0.2523588619818750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Abaco!$B$79</c:f>
          <c:strCache>
            <c:ptCount val="1"/>
            <c:pt idx="0">
              <c:v>Temps de culmination / Masse totale</c:v>
            </c:pt>
          </c:strCache>
        </c:strRef>
      </c:tx>
      <c:layout>
        <c:manualLayout>
          <c:xMode val="edge"/>
          <c:yMode val="edge"/>
          <c:x val="0.18369438576275529"/>
          <c:y val="3.2407517456544362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8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Abaco!$M$41:$M$49</c:f>
              <c:numCache>
                <c:formatCode>General" s"</c:formatCode>
                <c:ptCount val="9"/>
                <c:pt idx="0">
                  <c:v>17.801914529830043</c:v>
                </c:pt>
                <c:pt idx="1">
                  <c:v>26.558937170653934</c:v>
                </c:pt>
                <c:pt idx="2">
                  <c:v>28.407920215474242</c:v>
                </c:pt>
                <c:pt idx="3">
                  <c:v>26.947024601248625</c:v>
                </c:pt>
                <c:pt idx="4">
                  <c:v>24.245000193772302</c:v>
                </c:pt>
                <c:pt idx="5">
                  <c:v>21.435495477593172</c:v>
                </c:pt>
                <c:pt idx="6">
                  <c:v>18.941692515483517</c:v>
                </c:pt>
                <c:pt idx="7">
                  <c:v>16.843514650318024</c:v>
                </c:pt>
                <c:pt idx="8">
                  <c:v>15.103309258071929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CE-4D16-B659-8F15E40A2BDD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Abaco!$M$50:$M$58</c:f>
              <c:numCache>
                <c:formatCode>General" s"</c:formatCode>
                <c:ptCount val="9"/>
                <c:pt idx="0">
                  <c:v>10.991628349718576</c:v>
                </c:pt>
                <c:pt idx="1">
                  <c:v>16.199574390561999</c:v>
                </c:pt>
                <c:pt idx="2">
                  <c:v>18.57886252365951</c:v>
                </c:pt>
                <c:pt idx="3">
                  <c:v>19.352316603380334</c:v>
                </c:pt>
                <c:pt idx="4">
                  <c:v>19.049694209354669</c:v>
                </c:pt>
                <c:pt idx="5">
                  <c:v>18.103783156923683</c:v>
                </c:pt>
                <c:pt idx="6">
                  <c:v>16.858495961986328</c:v>
                </c:pt>
                <c:pt idx="7">
                  <c:v>15.542727745766481</c:v>
                </c:pt>
                <c:pt idx="8">
                  <c:v>14.281636303018827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CE-4D16-B659-8F15E40A2BDD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3.2350000000000003</c:v>
                </c:pt>
                <c:pt idx="2">
                  <c:v>4.7850000000000001</c:v>
                </c:pt>
                <c:pt idx="3">
                  <c:v>6.3350000000000009</c:v>
                </c:pt>
                <c:pt idx="4">
                  <c:v>7.8849999999999998</c:v>
                </c:pt>
                <c:pt idx="5">
                  <c:v>9.4350000000000005</c:v>
                </c:pt>
                <c:pt idx="6">
                  <c:v>10.985000000000001</c:v>
                </c:pt>
                <c:pt idx="7">
                  <c:v>12.535</c:v>
                </c:pt>
                <c:pt idx="8">
                  <c:v>14.085000000000001</c:v>
                </c:pt>
              </c:numCache>
            </c:numRef>
          </c:xVal>
          <c:yVal>
            <c:numRef>
              <c:f>Abaco!$M$59:$M$67</c:f>
              <c:numCache>
                <c:formatCode>General" s"</c:formatCode>
                <c:ptCount val="9"/>
                <c:pt idx="0">
                  <c:v>8.524830917711494</c:v>
                </c:pt>
                <c:pt idx="1">
                  <c:v>12.080876808173977</c:v>
                </c:pt>
                <c:pt idx="2">
                  <c:v>13.992882222853483</c:v>
                </c:pt>
                <c:pt idx="3">
                  <c:v>15.014619405304806</c:v>
                </c:pt>
                <c:pt idx="4">
                  <c:v>15.370753547061385</c:v>
                </c:pt>
                <c:pt idx="5">
                  <c:v>15.226096712864763</c:v>
                </c:pt>
                <c:pt idx="6">
                  <c:v>14.733728880277212</c:v>
                </c:pt>
                <c:pt idx="7">
                  <c:v>14.03106620541157</c:v>
                </c:pt>
                <c:pt idx="8">
                  <c:v>13.227925567906055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CE-4D16-B659-8F15E40A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8976"/>
        <c:axId val="195680896"/>
      </c:scatterChart>
      <c:valAx>
        <c:axId val="19567897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4251328334"/>
              <c:y val="0.8092359976229385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5680896"/>
        <c:crosses val="autoZero"/>
        <c:crossBetween val="midCat"/>
      </c:valAx>
      <c:valAx>
        <c:axId val="195680896"/>
        <c:scaling>
          <c:orientation val="minMax"/>
        </c:scaling>
        <c:delete val="0"/>
        <c:axPos val="l"/>
        <c:majorGridlines/>
        <c:title>
          <c:tx>
            <c:strRef>
              <c:f>Abaco!$B$78</c:f>
              <c:strCache>
                <c:ptCount val="1"/>
                <c:pt idx="0">
                  <c:v>Temps de culmination</c:v>
                </c:pt>
              </c:strCache>
            </c:strRef>
          </c:tx>
          <c:layout>
            <c:manualLayout>
              <c:xMode val="edge"/>
              <c:yMode val="edge"/>
              <c:x val="0.14166677336064695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956789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357744916031841"/>
          <c:y val="0.18396263556678061"/>
          <c:w val="0.20325203252032525"/>
          <c:h val="0.2523588619818750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pin" dx="15" fmlaLink="$C$22" inc="25" max="30000" noThreeD="1" page="10"/>
</file>

<file path=xl/ctrlProps/ctrlProp2.xml><?xml version="1.0" encoding="utf-8"?>
<formControlPr xmlns="http://schemas.microsoft.com/office/spreadsheetml/2009/9/main" objectType="Spin" dx="15" fmlaLink="$C$11" inc="100" max="30000" noThreeD="1" page="10" val="6200"/>
</file>

<file path=xl/ctrlProps/ctrlProp3.xml><?xml version="1.0" encoding="utf-8"?>
<formControlPr xmlns="http://schemas.microsoft.com/office/spreadsheetml/2009/9/main" objectType="Spin" dx="15" fmlaLink="$C$12" inc="50" max="30000" noThreeD="1" page="10" val="260"/>
</file>

<file path=xl/ctrlProps/ctrlProp4.xml><?xml version="1.0" encoding="utf-8"?>
<formControlPr xmlns="http://schemas.microsoft.com/office/spreadsheetml/2009/9/main" objectType="Spin" dx="15" fmlaLink="$C$23" inc="20" max="30000" noThreeD="1" page="10" val="84"/>
</file>

<file path=xl/ctrlProps/ctrlProp5.xml><?xml version="1.0" encoding="utf-8"?>
<formControlPr xmlns="http://schemas.microsoft.com/office/spreadsheetml/2009/9/main" objectType="Spin" dx="15" fmlaLink="$C$27" inc="10" max="30000" noThreeD="1" page="10" val="190"/>
</file>

<file path=xl/ctrlProps/ctrlProp6.xml><?xml version="1.0" encoding="utf-8"?>
<formControlPr xmlns="http://schemas.microsoft.com/office/spreadsheetml/2009/9/main" objectType="Spin" dx="15" fmlaLink="$C$28" inc="10" max="30000" noThreeD="1" page="10" val="60"/>
</file>

<file path=xl/ctrlProps/ctrlProp7.xml><?xml version="1.0" encoding="utf-8"?>
<formControlPr xmlns="http://schemas.microsoft.com/office/spreadsheetml/2009/9/main" objectType="Spin" dx="15" fmlaLink="$C$29" inc="10" max="30000" noThreeD="1" page="10" val="180"/>
</file>

<file path=xl/ctrlProps/ctrlProp8.xml><?xml version="1.0" encoding="utf-8"?>
<formControlPr xmlns="http://schemas.microsoft.com/office/spreadsheetml/2009/9/main" objectType="Spin" dx="15" fmlaLink="$C$30" inc="10" max="30000" noThreeD="1" page="10" val="130"/>
</file>

<file path=xl/ctrlProps/ctrlProp9.xml><?xml version="1.0" encoding="utf-8"?>
<formControlPr xmlns="http://schemas.microsoft.com/office/spreadsheetml/2009/9/main" objectType="Spin" dx="15" fmlaLink="$C$31" max="30000" noThreeD="1" page="10" val="3"/>
</file>

<file path=xl/ctrlProps/ctrlProp10.xml><?xml version="1.0" encoding="utf-8"?>
<formControlPr xmlns="http://schemas.microsoft.com/office/spreadsheetml/2009/9/main" objectType="Spin" dx="15" fmlaLink="$C$32" max="6" min="3" noThreeD="1" page="10" val="4"/>
</file>

<file path=xl/ctrlProps/ctrlProp11.xml><?xml version="1.0" encoding="utf-8"?>
<formControlPr xmlns="http://schemas.microsoft.com/office/spreadsheetml/2009/9/main" objectType="Spin" dx="15" fmlaLink="$C$13" inc="50" max="30000" noThreeD="1" page="10" val="1035"/>
</file>

<file path=xl/ctrlProps/ctrlProp12.xml><?xml version="1.0" encoding="utf-8"?>
<formControlPr xmlns="http://schemas.microsoft.com/office/spreadsheetml/2009/9/main" objectType="Spin" dx="15" fmlaLink="$C$11" inc="100" max="30000" noThreeD="1" page="10" val="6200"/>
</file>

<file path=xl/ctrlProps/ctrlProp13.xml><?xml version="1.0" encoding="utf-8"?>
<formControlPr xmlns="http://schemas.microsoft.com/office/spreadsheetml/2009/9/main" objectType="Spin" dx="15" fmlaLink="$C$11" inc="100" max="30000" noThreeD="1" page="10" val="6200"/>
</file>

<file path=xl/ctrlProps/ctrlProp14.xml><?xml version="1.0" encoding="utf-8"?>
<formControlPr xmlns="http://schemas.microsoft.com/office/spreadsheetml/2009/9/main" objectType="Spin" dx="15" fmlaLink="Stabilito!C11" inc="100" max="30000" noThreeD="1" page="10" val="6200"/>
</file>

<file path=xl/ctrlProps/ctrlProp15.xml><?xml version="1.0" encoding="utf-8"?>
<formControlPr xmlns="http://schemas.microsoft.com/office/spreadsheetml/2009/9/main" objectType="Spin" dx="15" fmlaLink="$B$43" inc="50" max="30000" noThreeD="1" page="10" val="200"/>
</file>

<file path=xl/ctrlProps/ctrlProp16.xml><?xml version="1.0" encoding="utf-8"?>
<formControlPr xmlns="http://schemas.microsoft.com/office/spreadsheetml/2009/9/main" objectType="Spin" dx="15" fmlaLink="$B$45" inc="50" max="30000" noThreeD="1" page="10" val="250"/>
</file>

<file path=xl/ctrlProps/ctrlProp17.xml><?xml version="1.0" encoding="utf-8"?>
<formControlPr xmlns="http://schemas.microsoft.com/office/spreadsheetml/2009/9/main" objectType="Spin" dx="15" fmlaLink="$B$51" inc="50" max="30000" noThreeD="1" page="10" val="499"/>
</file>

<file path=xl/ctrlProps/ctrlProp18.xml><?xml version="1.0" encoding="utf-8"?>
<formControlPr xmlns="http://schemas.microsoft.com/office/spreadsheetml/2009/9/main" objectType="Spin" dx="15" fmlaLink="$B$53" inc="5" max="30000" noThreeD="1" page="10" val="29"/>
</file>

<file path=xl/ctrlProps/ctrlProp19.xml><?xml version="1.0" encoding="utf-8"?>
<formControlPr xmlns="http://schemas.microsoft.com/office/spreadsheetml/2009/9/main" objectType="Spin" dx="15" fmlaLink="Stabilito!C11" inc="100" max="30000" noThreeD="1" page="10" val="6200"/>
</file>

<file path=xl/ctrlProps/ctrlProp20.xml><?xml version="1.0" encoding="utf-8"?>
<formControlPr xmlns="http://schemas.microsoft.com/office/spreadsheetml/2009/9/main" objectType="Spin" dx="15" fmlaLink="Stabilito!C11" inc="100" max="30000" noThreeD="1" page="10" val="620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emf"/><Relationship Id="rId18" Type="http://schemas.openxmlformats.org/officeDocument/2006/relationships/image" Target="../media/image24.emf"/><Relationship Id="rId26" Type="http://schemas.openxmlformats.org/officeDocument/2006/relationships/image" Target="../media/image32.emf"/><Relationship Id="rId3" Type="http://schemas.openxmlformats.org/officeDocument/2006/relationships/image" Target="../media/image9.emf"/><Relationship Id="rId21" Type="http://schemas.openxmlformats.org/officeDocument/2006/relationships/image" Target="../media/image27.emf"/><Relationship Id="rId34" Type="http://schemas.openxmlformats.org/officeDocument/2006/relationships/image" Target="../media/image40.emf"/><Relationship Id="rId7" Type="http://schemas.openxmlformats.org/officeDocument/2006/relationships/image" Target="../media/image13.emf"/><Relationship Id="rId12" Type="http://schemas.openxmlformats.org/officeDocument/2006/relationships/image" Target="../media/image18.emf"/><Relationship Id="rId17" Type="http://schemas.openxmlformats.org/officeDocument/2006/relationships/image" Target="../media/image23.emf"/><Relationship Id="rId25" Type="http://schemas.openxmlformats.org/officeDocument/2006/relationships/image" Target="../media/image31.emf"/><Relationship Id="rId33" Type="http://schemas.openxmlformats.org/officeDocument/2006/relationships/image" Target="../media/image39.emf"/><Relationship Id="rId2" Type="http://schemas.openxmlformats.org/officeDocument/2006/relationships/image" Target="../media/image8.emf"/><Relationship Id="rId16" Type="http://schemas.openxmlformats.org/officeDocument/2006/relationships/image" Target="../media/image22.emf"/><Relationship Id="rId20" Type="http://schemas.openxmlformats.org/officeDocument/2006/relationships/image" Target="../media/image26.emf"/><Relationship Id="rId29" Type="http://schemas.openxmlformats.org/officeDocument/2006/relationships/image" Target="../media/image35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11" Type="http://schemas.openxmlformats.org/officeDocument/2006/relationships/image" Target="../media/image17.emf"/><Relationship Id="rId24" Type="http://schemas.openxmlformats.org/officeDocument/2006/relationships/image" Target="../media/image30.emf"/><Relationship Id="rId32" Type="http://schemas.openxmlformats.org/officeDocument/2006/relationships/image" Target="../media/image38.emf"/><Relationship Id="rId5" Type="http://schemas.openxmlformats.org/officeDocument/2006/relationships/image" Target="../media/image11.emf"/><Relationship Id="rId15" Type="http://schemas.openxmlformats.org/officeDocument/2006/relationships/image" Target="../media/image21.emf"/><Relationship Id="rId23" Type="http://schemas.openxmlformats.org/officeDocument/2006/relationships/image" Target="../media/image29.emf"/><Relationship Id="rId28" Type="http://schemas.openxmlformats.org/officeDocument/2006/relationships/image" Target="../media/image34.emf"/><Relationship Id="rId36" Type="http://schemas.openxmlformats.org/officeDocument/2006/relationships/image" Target="../media/image42.emf"/><Relationship Id="rId10" Type="http://schemas.openxmlformats.org/officeDocument/2006/relationships/image" Target="../media/image16.emf"/><Relationship Id="rId19" Type="http://schemas.openxmlformats.org/officeDocument/2006/relationships/image" Target="../media/image25.emf"/><Relationship Id="rId31" Type="http://schemas.openxmlformats.org/officeDocument/2006/relationships/image" Target="../media/image37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Relationship Id="rId14" Type="http://schemas.openxmlformats.org/officeDocument/2006/relationships/image" Target="../media/image20.emf"/><Relationship Id="rId22" Type="http://schemas.openxmlformats.org/officeDocument/2006/relationships/image" Target="../media/image28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Relationship Id="rId35" Type="http://schemas.openxmlformats.org/officeDocument/2006/relationships/image" Target="../media/image41.emf"/><Relationship Id="rId8" Type="http://schemas.openxmlformats.org/officeDocument/2006/relationships/image" Target="../media/image1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3.png"/><Relationship Id="rId5" Type="http://schemas.openxmlformats.org/officeDocument/2006/relationships/image" Target="../media/image43.emf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1</xdr:row>
      <xdr:rowOff>25400</xdr:rowOff>
    </xdr:from>
    <xdr:to>
      <xdr:col>12</xdr:col>
      <xdr:colOff>488950</xdr:colOff>
      <xdr:row>1</xdr:row>
      <xdr:rowOff>139700</xdr:rowOff>
    </xdr:to>
    <xdr:grpSp>
      <xdr:nvGrpSpPr>
        <xdr:cNvPr id="5096993" name="Groupe 1">
          <a:extLst>
            <a:ext uri="{FF2B5EF4-FFF2-40B4-BE49-F238E27FC236}">
              <a16:creationId xmlns:a16="http://schemas.microsoft.com/office/drawing/2014/main" id="{00000000-0008-0000-0000-000021C64D00}"/>
            </a:ext>
          </a:extLst>
        </xdr:cNvPr>
        <xdr:cNvGrpSpPr>
          <a:grpSpLocks/>
        </xdr:cNvGrpSpPr>
      </xdr:nvGrpSpPr>
      <xdr:grpSpPr bwMode="auto">
        <a:xfrm>
          <a:off x="7365253" y="182282"/>
          <a:ext cx="463550" cy="114300"/>
          <a:chOff x="7067550" y="190500"/>
          <a:chExt cx="438150" cy="114300"/>
        </a:xfrm>
      </xdr:grpSpPr>
      <xdr:pic>
        <xdr:nvPicPr>
          <xdr:cNvPr id="5096999" name="Image 1">
            <a:extLst>
              <a:ext uri="{FF2B5EF4-FFF2-40B4-BE49-F238E27FC236}">
                <a16:creationId xmlns:a16="http://schemas.microsoft.com/office/drawing/2014/main" id="{00000000-0008-0000-0000-000027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67550" y="190500"/>
            <a:ext cx="171450" cy="1143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5097000" name="Image 2">
            <a:extLst>
              <a:ext uri="{FF2B5EF4-FFF2-40B4-BE49-F238E27FC236}">
                <a16:creationId xmlns:a16="http://schemas.microsoft.com/office/drawing/2014/main" id="{00000000-0008-0000-0000-000028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277100" y="190500"/>
            <a:ext cx="228600" cy="1143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5</xdr:col>
      <xdr:colOff>16566</xdr:colOff>
      <xdr:row>1</xdr:row>
      <xdr:rowOff>1</xdr:rowOff>
    </xdr:from>
    <xdr:to>
      <xdr:col>10</xdr:col>
      <xdr:colOff>0</xdr:colOff>
      <xdr:row>24</xdr:row>
      <xdr:rowOff>24848</xdr:rowOff>
    </xdr:to>
    <xdr:graphicFrame macro="">
      <xdr:nvGraphicFramePr>
        <xdr:cNvPr id="5096994" name="Graphique 9">
          <a:extLst>
            <a:ext uri="{FF2B5EF4-FFF2-40B4-BE49-F238E27FC236}">
              <a16:creationId xmlns:a16="http://schemas.microsoft.com/office/drawing/2014/main" id="{00000000-0008-0000-0000-000022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16</xdr:col>
      <xdr:colOff>0</xdr:colOff>
      <xdr:row>35</xdr:row>
      <xdr:rowOff>0</xdr:rowOff>
    </xdr:to>
    <xdr:graphicFrame macro="">
      <xdr:nvGraphicFramePr>
        <xdr:cNvPr id="5096995" name="Graphique 19">
          <a:extLst>
            <a:ext uri="{FF2B5EF4-FFF2-40B4-BE49-F238E27FC236}">
              <a16:creationId xmlns:a16="http://schemas.microsoft.com/office/drawing/2014/main" id="{00000000-0008-0000-0000-000023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984250</xdr:colOff>
      <xdr:row>5</xdr:row>
      <xdr:rowOff>1722</xdr:rowOff>
    </xdr:to>
    <xdr:pic>
      <xdr:nvPicPr>
        <xdr:cNvPr id="5096996" name="Picture 8" descr="logoplasci">
          <a:extLst>
            <a:ext uri="{FF2B5EF4-FFF2-40B4-BE49-F238E27FC236}">
              <a16:creationId xmlns:a16="http://schemas.microsoft.com/office/drawing/2014/main" id="{00000000-0008-0000-0000-000024C6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158750"/>
          <a:ext cx="9842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36</xdr:row>
      <xdr:rowOff>133350</xdr:rowOff>
    </xdr:from>
    <xdr:to>
      <xdr:col>2</xdr:col>
      <xdr:colOff>850900</xdr:colOff>
      <xdr:row>48</xdr:row>
      <xdr:rowOff>41275</xdr:rowOff>
    </xdr:to>
    <xdr:pic>
      <xdr:nvPicPr>
        <xdr:cNvPr id="5096997" name="Image 1">
          <a:extLst>
            <a:ext uri="{FF2B5EF4-FFF2-40B4-BE49-F238E27FC236}">
              <a16:creationId xmlns:a16="http://schemas.microsoft.com/office/drawing/2014/main" id="{00000000-0008-0000-0000-000025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2875" y="5962650"/>
          <a:ext cx="1936750" cy="185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3</xdr:row>
      <xdr:rowOff>12700</xdr:rowOff>
    </xdr:from>
    <xdr:to>
      <xdr:col>20</xdr:col>
      <xdr:colOff>565150</xdr:colOff>
      <xdr:row>9</xdr:row>
      <xdr:rowOff>12700</xdr:rowOff>
    </xdr:to>
    <xdr:pic>
      <xdr:nvPicPr>
        <xdr:cNvPr id="5096998" name="Image 2">
          <a:extLst>
            <a:ext uri="{FF2B5EF4-FFF2-40B4-BE49-F238E27FC236}">
              <a16:creationId xmlns:a16="http://schemas.microsoft.com/office/drawing/2014/main" id="{00000000-0008-0000-0000-000026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810750" y="488950"/>
          <a:ext cx="215265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752475</xdr:colOff>
          <xdr:row>21</xdr:row>
          <xdr:rowOff>9525</xdr:rowOff>
        </xdr:from>
        <xdr:to>
          <xdr:col>4</xdr:col>
          <xdr:colOff>0</xdr:colOff>
          <xdr:row>22</xdr:row>
          <xdr:rowOff>0</xdr:rowOff>
        </xdr:to>
        <xdr:sp macro="" textlink="">
          <xdr:nvSpPr>
            <xdr:cNvPr id="36775" name="Spinner 935" hidden="1">
              <a:extLst>
                <a:ext uri="{63B3BB69-23CF-44E3-9099-C40C66FF867C}">
                  <a14:compatExt spid="_x0000_s36775"/>
                </a:ext>
                <a:ext uri="{FF2B5EF4-FFF2-40B4-BE49-F238E27FC236}">
                  <a16:creationId xmlns:a16="http://schemas.microsoft.com/office/drawing/2014/main" id="{00000000-0008-0000-0000-0000A7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10</xdr:row>
          <xdr:rowOff>9525</xdr:rowOff>
        </xdr:from>
        <xdr:to>
          <xdr:col>3</xdr:col>
          <xdr:colOff>0</xdr:colOff>
          <xdr:row>11</xdr:row>
          <xdr:rowOff>0</xdr:rowOff>
        </xdr:to>
        <xdr:sp macro="" textlink="">
          <xdr:nvSpPr>
            <xdr:cNvPr id="36781" name="Spinner 941" hidden="1">
              <a:extLst>
                <a:ext uri="{63B3BB69-23CF-44E3-9099-C40C66FF867C}">
                  <a14:compatExt spid="_x0000_s36781"/>
                </a:ext>
                <a:ext uri="{FF2B5EF4-FFF2-40B4-BE49-F238E27FC236}">
                  <a16:creationId xmlns:a16="http://schemas.microsoft.com/office/drawing/2014/main" id="{00000000-0008-0000-0000-0000A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11</xdr:row>
          <xdr:rowOff>9525</xdr:rowOff>
        </xdr:from>
        <xdr:to>
          <xdr:col>3</xdr:col>
          <xdr:colOff>0</xdr:colOff>
          <xdr:row>12</xdr:row>
          <xdr:rowOff>0</xdr:rowOff>
        </xdr:to>
        <xdr:sp macro="" textlink="">
          <xdr:nvSpPr>
            <xdr:cNvPr id="36782" name="Spinner 942" hidden="1">
              <a:extLst>
                <a:ext uri="{63B3BB69-23CF-44E3-9099-C40C66FF867C}">
                  <a14:compatExt spid="_x0000_s36782"/>
                </a:ext>
                <a:ext uri="{FF2B5EF4-FFF2-40B4-BE49-F238E27FC236}">
                  <a16:creationId xmlns:a16="http://schemas.microsoft.com/office/drawing/2014/main" id="{00000000-0008-0000-0000-0000A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752475</xdr:colOff>
          <xdr:row>22</xdr:row>
          <xdr:rowOff>9525</xdr:rowOff>
        </xdr:from>
        <xdr:to>
          <xdr:col>4</xdr:col>
          <xdr:colOff>0</xdr:colOff>
          <xdr:row>23</xdr:row>
          <xdr:rowOff>0</xdr:rowOff>
        </xdr:to>
        <xdr:sp macro="" textlink="">
          <xdr:nvSpPr>
            <xdr:cNvPr id="36783" name="Spinner 943" hidden="1">
              <a:extLst>
                <a:ext uri="{63B3BB69-23CF-44E3-9099-C40C66FF867C}">
                  <a14:compatExt spid="_x0000_s36783"/>
                </a:ext>
                <a:ext uri="{FF2B5EF4-FFF2-40B4-BE49-F238E27FC236}">
                  <a16:creationId xmlns:a16="http://schemas.microsoft.com/office/drawing/2014/main" id="{00000000-0008-0000-0000-0000A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26</xdr:row>
          <xdr:rowOff>9525</xdr:rowOff>
        </xdr:from>
        <xdr:to>
          <xdr:col>3</xdr:col>
          <xdr:colOff>0</xdr:colOff>
          <xdr:row>27</xdr:row>
          <xdr:rowOff>0</xdr:rowOff>
        </xdr:to>
        <xdr:sp macro="" textlink="">
          <xdr:nvSpPr>
            <xdr:cNvPr id="36789" name="Spinner 949" hidden="1">
              <a:extLst>
                <a:ext uri="{63B3BB69-23CF-44E3-9099-C40C66FF867C}">
                  <a14:compatExt spid="_x0000_s36789"/>
                </a:ext>
                <a:ext uri="{FF2B5EF4-FFF2-40B4-BE49-F238E27FC236}">
                  <a16:creationId xmlns:a16="http://schemas.microsoft.com/office/drawing/2014/main" id="{00000000-0008-0000-0000-0000B5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27</xdr:row>
          <xdr:rowOff>9525</xdr:rowOff>
        </xdr:from>
        <xdr:to>
          <xdr:col>3</xdr:col>
          <xdr:colOff>0</xdr:colOff>
          <xdr:row>28</xdr:row>
          <xdr:rowOff>0</xdr:rowOff>
        </xdr:to>
        <xdr:sp macro="" textlink="">
          <xdr:nvSpPr>
            <xdr:cNvPr id="36795" name="Spinner 955" hidden="1">
              <a:extLst>
                <a:ext uri="{63B3BB69-23CF-44E3-9099-C40C66FF867C}">
                  <a14:compatExt spid="_x0000_s36795"/>
                </a:ext>
                <a:ext uri="{FF2B5EF4-FFF2-40B4-BE49-F238E27FC236}">
                  <a16:creationId xmlns:a16="http://schemas.microsoft.com/office/drawing/2014/main" id="{00000000-0008-0000-0000-0000BB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28</xdr:row>
          <xdr:rowOff>9525</xdr:rowOff>
        </xdr:from>
        <xdr:to>
          <xdr:col>3</xdr:col>
          <xdr:colOff>0</xdr:colOff>
          <xdr:row>29</xdr:row>
          <xdr:rowOff>0</xdr:rowOff>
        </xdr:to>
        <xdr:sp macro="" textlink="">
          <xdr:nvSpPr>
            <xdr:cNvPr id="36796" name="Spinner 956" hidden="1">
              <a:extLst>
                <a:ext uri="{63B3BB69-23CF-44E3-9099-C40C66FF867C}">
                  <a14:compatExt spid="_x0000_s36796"/>
                </a:ext>
                <a:ext uri="{FF2B5EF4-FFF2-40B4-BE49-F238E27FC236}">
                  <a16:creationId xmlns:a16="http://schemas.microsoft.com/office/drawing/2014/main" id="{00000000-0008-0000-0000-0000BC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29</xdr:row>
          <xdr:rowOff>9525</xdr:rowOff>
        </xdr:from>
        <xdr:to>
          <xdr:col>3</xdr:col>
          <xdr:colOff>0</xdr:colOff>
          <xdr:row>30</xdr:row>
          <xdr:rowOff>0</xdr:rowOff>
        </xdr:to>
        <xdr:sp macro="" textlink="">
          <xdr:nvSpPr>
            <xdr:cNvPr id="36797" name="Spinner 957" hidden="1">
              <a:extLst>
                <a:ext uri="{63B3BB69-23CF-44E3-9099-C40C66FF867C}">
                  <a14:compatExt spid="_x0000_s36797"/>
                </a:ext>
                <a:ext uri="{FF2B5EF4-FFF2-40B4-BE49-F238E27FC236}">
                  <a16:creationId xmlns:a16="http://schemas.microsoft.com/office/drawing/2014/main" id="{00000000-0008-0000-0000-0000B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30</xdr:row>
          <xdr:rowOff>9525</xdr:rowOff>
        </xdr:from>
        <xdr:to>
          <xdr:col>3</xdr:col>
          <xdr:colOff>0</xdr:colOff>
          <xdr:row>31</xdr:row>
          <xdr:rowOff>0</xdr:rowOff>
        </xdr:to>
        <xdr:sp macro="" textlink="">
          <xdr:nvSpPr>
            <xdr:cNvPr id="36798" name="Spinner 958" hidden="1">
              <a:extLst>
                <a:ext uri="{63B3BB69-23CF-44E3-9099-C40C66FF867C}">
                  <a14:compatExt spid="_x0000_s36798"/>
                </a:ext>
                <a:ext uri="{FF2B5EF4-FFF2-40B4-BE49-F238E27FC236}">
                  <a16:creationId xmlns:a16="http://schemas.microsoft.com/office/drawing/2014/main" id="{00000000-0008-0000-0000-0000B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752475</xdr:colOff>
          <xdr:row>31</xdr:row>
          <xdr:rowOff>9525</xdr:rowOff>
        </xdr:from>
        <xdr:to>
          <xdr:col>3</xdr:col>
          <xdr:colOff>0</xdr:colOff>
          <xdr:row>32</xdr:row>
          <xdr:rowOff>0</xdr:rowOff>
        </xdr:to>
        <xdr:sp macro="" textlink="">
          <xdr:nvSpPr>
            <xdr:cNvPr id="36799" name="Spinner 959" hidden="1">
              <a:extLst>
                <a:ext uri="{63B3BB69-23CF-44E3-9099-C40C66FF867C}">
                  <a14:compatExt spid="_x0000_s36799"/>
                </a:ext>
                <a:ext uri="{FF2B5EF4-FFF2-40B4-BE49-F238E27FC236}">
                  <a16:creationId xmlns:a16="http://schemas.microsoft.com/office/drawing/2014/main" id="{00000000-0008-0000-0000-0000B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752475</xdr:colOff>
          <xdr:row>12</xdr:row>
          <xdr:rowOff>9525</xdr:rowOff>
        </xdr:from>
        <xdr:to>
          <xdr:col>4</xdr:col>
          <xdr:colOff>0</xdr:colOff>
          <xdr:row>13</xdr:row>
          <xdr:rowOff>0</xdr:rowOff>
        </xdr:to>
        <xdr:sp macro="" textlink="">
          <xdr:nvSpPr>
            <xdr:cNvPr id="36801" name="Spinner 961" hidden="1">
              <a:extLst>
                <a:ext uri="{63B3BB69-23CF-44E3-9099-C40C66FF867C}">
                  <a14:compatExt spid="_x0000_s36801"/>
                </a:ext>
                <a:ext uri="{FF2B5EF4-FFF2-40B4-BE49-F238E27FC236}">
                  <a16:creationId xmlns:a16="http://schemas.microsoft.com/office/drawing/2014/main" id="{00000000-0008-0000-0000-0000C1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9525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1" name="Spinner 3315" hidden="1">
              <a:extLst>
                <a:ext uri="{63B3BB69-23CF-44E3-9099-C40C66FF867C}">
                  <a14:compatExt spid="_x0000_s5096691"/>
                </a:ext>
                <a:ext uri="{FF2B5EF4-FFF2-40B4-BE49-F238E27FC236}">
                  <a16:creationId xmlns:a16="http://schemas.microsoft.com/office/drawing/2014/main" id="{00000000-0008-0000-0000-0000F3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9525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2" name="Spinner 3316" hidden="1">
              <a:extLst>
                <a:ext uri="{63B3BB69-23CF-44E3-9099-C40C66FF867C}">
                  <a14:compatExt spid="_x0000_s5096692"/>
                </a:ext>
                <a:ext uri="{FF2B5EF4-FFF2-40B4-BE49-F238E27FC236}">
                  <a16:creationId xmlns:a16="http://schemas.microsoft.com/office/drawing/2014/main" id="{00000000-0008-0000-0000-0000F4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4779983" name="Graphique 1">
          <a:extLst>
            <a:ext uri="{FF2B5EF4-FFF2-40B4-BE49-F238E27FC236}">
              <a16:creationId xmlns:a16="http://schemas.microsoft.com/office/drawing/2014/main" id="{00000000-0008-0000-0100-0000CFEF4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4779984" name="Graphique 2">
          <a:extLst>
            <a:ext uri="{FF2B5EF4-FFF2-40B4-BE49-F238E27FC236}">
              <a16:creationId xmlns:a16="http://schemas.microsoft.com/office/drawing/2014/main" id="{00000000-0008-0000-0100-0000D0EF4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984250</xdr:colOff>
      <xdr:row>5</xdr:row>
      <xdr:rowOff>932</xdr:rowOff>
    </xdr:to>
    <xdr:pic>
      <xdr:nvPicPr>
        <xdr:cNvPr id="4779985" name="Picture 8" descr="logoplasci">
          <a:extLst>
            <a:ext uri="{FF2B5EF4-FFF2-40B4-BE49-F238E27FC236}">
              <a16:creationId xmlns:a16="http://schemas.microsoft.com/office/drawing/2014/main" id="{00000000-0008-0000-0100-0000D1EF4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" y="165100"/>
          <a:ext cx="9842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139700</xdr:colOff>
      <xdr:row>38</xdr:row>
      <xdr:rowOff>120650</xdr:rowOff>
    </xdr:from>
    <xdr:to>
      <xdr:col>3</xdr:col>
      <xdr:colOff>723900</xdr:colOff>
      <xdr:row>46</xdr:row>
      <xdr:rowOff>0</xdr:rowOff>
    </xdr:to>
    <xdr:grpSp>
      <xdr:nvGrpSpPr>
        <xdr:cNvPr id="4779986" name="Groupe 1">
          <a:extLst>
            <a:ext uri="{FF2B5EF4-FFF2-40B4-BE49-F238E27FC236}">
              <a16:creationId xmlns:a16="http://schemas.microsoft.com/office/drawing/2014/main" id="{00000000-0008-0000-0100-0000D2EF4800}"/>
            </a:ext>
          </a:extLst>
        </xdr:cNvPr>
        <xdr:cNvGrpSpPr>
          <a:grpSpLocks/>
        </xdr:cNvGrpSpPr>
      </xdr:nvGrpSpPr>
      <xdr:grpSpPr bwMode="auto">
        <a:xfrm>
          <a:off x="1363094" y="6438609"/>
          <a:ext cx="1344453" cy="1207607"/>
          <a:chOff x="1362075" y="6410325"/>
          <a:chExt cx="1319468" cy="1181100"/>
        </a:xfrm>
      </xdr:grpSpPr>
      <xdr:sp macro="" textlink="">
        <xdr:nvSpPr>
          <xdr:cNvPr id="4779991" name="Line 320">
            <a:extLst>
              <a:ext uri="{FF2B5EF4-FFF2-40B4-BE49-F238E27FC236}">
                <a16:creationId xmlns:a16="http://schemas.microsoft.com/office/drawing/2014/main" id="{00000000-0008-0000-0100-0000D7EF48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462415" y="7296150"/>
            <a:ext cx="35118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</xdr:spPr>
      </xdr:sp>
      <xdr:sp macro="" textlink="">
        <xdr:nvSpPr>
          <xdr:cNvPr id="4779992" name="Rectangle 314">
            <a:extLst>
              <a:ext uri="{FF2B5EF4-FFF2-40B4-BE49-F238E27FC236}">
                <a16:creationId xmlns:a16="http://schemas.microsoft.com/office/drawing/2014/main" id="{00000000-0008-0000-0100-0000D8EF4800}"/>
              </a:ext>
            </a:extLst>
          </xdr:cNvPr>
          <xdr:cNvSpPr>
            <a:spLocks noChangeArrowheads="1"/>
          </xdr:cNvSpPr>
        </xdr:nvSpPr>
        <xdr:spPr bwMode="auto">
          <a:xfrm>
            <a:off x="1833672" y="6410325"/>
            <a:ext cx="481630" cy="1181100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779993" name="Rectangle 315">
            <a:extLst>
              <a:ext uri="{FF2B5EF4-FFF2-40B4-BE49-F238E27FC236}">
                <a16:creationId xmlns:a16="http://schemas.microsoft.com/office/drawing/2014/main" id="{00000000-0008-0000-0100-0000D9EF4800}"/>
              </a:ext>
            </a:extLst>
          </xdr:cNvPr>
          <xdr:cNvSpPr>
            <a:spLocks noChangeArrowheads="1"/>
          </xdr:cNvSpPr>
        </xdr:nvSpPr>
        <xdr:spPr bwMode="auto">
          <a:xfrm rot="-5400000">
            <a:off x="1838363" y="6388995"/>
            <a:ext cx="482283" cy="1204076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779994" name="Line 316">
            <a:extLst>
              <a:ext uri="{FF2B5EF4-FFF2-40B4-BE49-F238E27FC236}">
                <a16:creationId xmlns:a16="http://schemas.microsoft.com/office/drawing/2014/main" id="{00000000-0008-0000-0100-0000DAEF4800}"/>
              </a:ext>
            </a:extLst>
          </xdr:cNvPr>
          <xdr:cNvSpPr>
            <a:spLocks noChangeShapeType="1"/>
          </xdr:cNvSpPr>
        </xdr:nvSpPr>
        <xdr:spPr bwMode="auto">
          <a:xfrm>
            <a:off x="1833672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779995" name="Line 317">
            <a:extLst>
              <a:ext uri="{FF2B5EF4-FFF2-40B4-BE49-F238E27FC236}">
                <a16:creationId xmlns:a16="http://schemas.microsoft.com/office/drawing/2014/main" id="{00000000-0008-0000-0100-0000DBEF4800}"/>
              </a:ext>
            </a:extLst>
          </xdr:cNvPr>
          <xdr:cNvSpPr>
            <a:spLocks noChangeShapeType="1"/>
          </xdr:cNvSpPr>
        </xdr:nvSpPr>
        <xdr:spPr bwMode="auto">
          <a:xfrm>
            <a:off x="2312198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779996" name="Line 319">
            <a:extLst>
              <a:ext uri="{FF2B5EF4-FFF2-40B4-BE49-F238E27FC236}">
                <a16:creationId xmlns:a16="http://schemas.microsoft.com/office/drawing/2014/main" id="{00000000-0008-0000-0100-0000DCEF4800}"/>
              </a:ext>
            </a:extLst>
          </xdr:cNvPr>
          <xdr:cNvSpPr>
            <a:spLocks noChangeShapeType="1"/>
          </xdr:cNvSpPr>
        </xdr:nvSpPr>
        <xdr:spPr bwMode="auto">
          <a:xfrm>
            <a:off x="1362075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</xdr:spPr>
      </xdr:sp>
    </xdr:grpSp>
    <xdr:clientData/>
  </xdr:twoCellAnchor>
  <xdr:twoCellAnchor>
    <xdr:from>
      <xdr:col>2</xdr:col>
      <xdr:colOff>260350</xdr:colOff>
      <xdr:row>49</xdr:row>
      <xdr:rowOff>19050</xdr:rowOff>
    </xdr:from>
    <xdr:to>
      <xdr:col>3</xdr:col>
      <xdr:colOff>514350</xdr:colOff>
      <xdr:row>54</xdr:row>
      <xdr:rowOff>120650</xdr:rowOff>
    </xdr:to>
    <xdr:sp macro="" textlink="">
      <xdr:nvSpPr>
        <xdr:cNvPr id="4779987" name="Oval 323">
          <a:extLst>
            <a:ext uri="{FF2B5EF4-FFF2-40B4-BE49-F238E27FC236}">
              <a16:creationId xmlns:a16="http://schemas.microsoft.com/office/drawing/2014/main" id="{00000000-0008-0000-0100-0000D3EF4800}"/>
            </a:ext>
          </a:extLst>
        </xdr:cNvPr>
        <xdr:cNvSpPr>
          <a:spLocks noChangeArrowheads="1"/>
        </xdr:cNvSpPr>
      </xdr:nvSpPr>
      <xdr:spPr bwMode="auto">
        <a:xfrm>
          <a:off x="1549400" y="7981950"/>
          <a:ext cx="1047750" cy="927100"/>
        </a:xfrm>
        <a:prstGeom prst="ellipse">
          <a:avLst/>
        </a:prstGeom>
        <a:solidFill>
          <a:srgbClr val="F2F2F2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698500</xdr:colOff>
      <xdr:row>51</xdr:row>
      <xdr:rowOff>57150</xdr:rowOff>
    </xdr:from>
    <xdr:to>
      <xdr:col>3</xdr:col>
      <xdr:colOff>88900</xdr:colOff>
      <xdr:row>52</xdr:row>
      <xdr:rowOff>76200</xdr:rowOff>
    </xdr:to>
    <xdr:sp macro="" textlink="">
      <xdr:nvSpPr>
        <xdr:cNvPr id="4779988" name="Oval 323">
          <a:extLst>
            <a:ext uri="{FF2B5EF4-FFF2-40B4-BE49-F238E27FC236}">
              <a16:creationId xmlns:a16="http://schemas.microsoft.com/office/drawing/2014/main" id="{00000000-0008-0000-0100-0000D4EF4800}"/>
            </a:ext>
          </a:extLst>
        </xdr:cNvPr>
        <xdr:cNvSpPr>
          <a:spLocks noChangeArrowheads="1"/>
        </xdr:cNvSpPr>
      </xdr:nvSpPr>
      <xdr:spPr bwMode="auto">
        <a:xfrm>
          <a:off x="1987550" y="8350250"/>
          <a:ext cx="184150" cy="18415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49</xdr:row>
      <xdr:rowOff>19050</xdr:rowOff>
    </xdr:from>
    <xdr:to>
      <xdr:col>3</xdr:col>
      <xdr:colOff>0</xdr:colOff>
      <xdr:row>51</xdr:row>
      <xdr:rowOff>146050</xdr:rowOff>
    </xdr:to>
    <xdr:sp macro="" textlink="">
      <xdr:nvSpPr>
        <xdr:cNvPr id="4779989" name="Line 324">
          <a:extLst>
            <a:ext uri="{FF2B5EF4-FFF2-40B4-BE49-F238E27FC236}">
              <a16:creationId xmlns:a16="http://schemas.microsoft.com/office/drawing/2014/main" id="{00000000-0008-0000-0100-0000D5EF4800}"/>
            </a:ext>
          </a:extLst>
        </xdr:cNvPr>
        <xdr:cNvSpPr>
          <a:spLocks noChangeShapeType="1"/>
        </xdr:cNvSpPr>
      </xdr:nvSpPr>
      <xdr:spPr bwMode="auto">
        <a:xfrm>
          <a:off x="2082800" y="79819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3</xdr:col>
      <xdr:colOff>0</xdr:colOff>
      <xdr:row>51</xdr:row>
      <xdr:rowOff>146050</xdr:rowOff>
    </xdr:from>
    <xdr:to>
      <xdr:col>3</xdr:col>
      <xdr:colOff>0</xdr:colOff>
      <xdr:row>52</xdr:row>
      <xdr:rowOff>88900</xdr:rowOff>
    </xdr:to>
    <xdr:sp macro="" textlink="">
      <xdr:nvSpPr>
        <xdr:cNvPr id="4779990" name="Line 324">
          <a:extLst>
            <a:ext uri="{FF2B5EF4-FFF2-40B4-BE49-F238E27FC236}">
              <a16:creationId xmlns:a16="http://schemas.microsoft.com/office/drawing/2014/main" id="{00000000-0008-0000-0100-0000D6EF4800}"/>
            </a:ext>
          </a:extLst>
        </xdr:cNvPr>
        <xdr:cNvSpPr>
          <a:spLocks noChangeShapeType="1"/>
        </xdr:cNvSpPr>
      </xdr:nvSpPr>
      <xdr:spPr bwMode="auto">
        <a:xfrm flipH="1">
          <a:off x="2082800" y="8439150"/>
          <a:ext cx="0" cy="10795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638175</xdr:colOff>
          <xdr:row>9</xdr:row>
          <xdr:rowOff>9525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1424424" name="Spinner 1064" hidden="1">
              <a:extLst>
                <a:ext uri="{63B3BB69-23CF-44E3-9099-C40C66FF867C}">
                  <a14:compatExt spid="_x0000_s1424424"/>
                </a:ext>
                <a:ext uri="{FF2B5EF4-FFF2-40B4-BE49-F238E27FC236}">
                  <a16:creationId xmlns:a16="http://schemas.microsoft.com/office/drawing/2014/main" id="{00000000-0008-0000-0100-000028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981075</xdr:colOff>
          <xdr:row>42</xdr:row>
          <xdr:rowOff>9525</xdr:rowOff>
        </xdr:from>
        <xdr:to>
          <xdr:col>2</xdr:col>
          <xdr:colOff>0</xdr:colOff>
          <xdr:row>43</xdr:row>
          <xdr:rowOff>0</xdr:rowOff>
        </xdr:to>
        <xdr:sp macro="" textlink="">
          <xdr:nvSpPr>
            <xdr:cNvPr id="1424589" name="Spinner 1229" hidden="1">
              <a:extLst>
                <a:ext uri="{63B3BB69-23CF-44E3-9099-C40C66FF867C}">
                  <a14:compatExt spid="_x0000_s1424589"/>
                </a:ext>
                <a:ext uri="{FF2B5EF4-FFF2-40B4-BE49-F238E27FC236}">
                  <a16:creationId xmlns:a16="http://schemas.microsoft.com/office/drawing/2014/main" id="{00000000-0008-0000-0100-0000CD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981075</xdr:colOff>
          <xdr:row>44</xdr:row>
          <xdr:rowOff>9525</xdr:rowOff>
        </xdr:from>
        <xdr:to>
          <xdr:col>2</xdr:col>
          <xdr:colOff>0</xdr:colOff>
          <xdr:row>45</xdr:row>
          <xdr:rowOff>0</xdr:rowOff>
        </xdr:to>
        <xdr:sp macro="" textlink="">
          <xdr:nvSpPr>
            <xdr:cNvPr id="1424590" name="Spinner 1230" hidden="1">
              <a:extLst>
                <a:ext uri="{63B3BB69-23CF-44E3-9099-C40C66FF867C}">
                  <a14:compatExt spid="_x0000_s1424590"/>
                </a:ext>
                <a:ext uri="{FF2B5EF4-FFF2-40B4-BE49-F238E27FC236}">
                  <a16:creationId xmlns:a16="http://schemas.microsoft.com/office/drawing/2014/main" id="{00000000-0008-0000-0100-0000CE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981075</xdr:colOff>
          <xdr:row>50</xdr:row>
          <xdr:rowOff>9525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1424591" name="Spinner 1231" hidden="1">
              <a:extLst>
                <a:ext uri="{63B3BB69-23CF-44E3-9099-C40C66FF867C}">
                  <a14:compatExt spid="_x0000_s1424591"/>
                </a:ext>
                <a:ext uri="{FF2B5EF4-FFF2-40B4-BE49-F238E27FC236}">
                  <a16:creationId xmlns:a16="http://schemas.microsoft.com/office/drawing/2014/main" id="{00000000-0008-0000-0100-0000CF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xdr:twoCellAnchor editAs="oneCell">
    <xdr:from>
      <xdr:col>1</xdr:col>
      <xdr:colOff>19050</xdr:colOff>
      <xdr:row>93</xdr:row>
      <xdr:rowOff>66675</xdr:rowOff>
    </xdr:from>
    <xdr:to>
      <xdr:col>4</xdr:col>
      <xdr:colOff>57150</xdr:colOff>
      <xdr:row>99</xdr:row>
      <xdr:rowOff>76200</xdr:rowOff>
    </xdr:to>
    <xdr:sp macro="" textlink="">
      <xdr:nvSpPr>
        <xdr:cNvPr id="1425294" name="Object 1934" hidden="1">
          <a:extLst>
            <a:ext uri="{63B3BB69-23CF-44E3-9099-C40C66FF867C}">
              <a14:compatExt xmlns:a14="http://schemas.microsoft.com/office/drawing/2010/main" spid="_x0000_s1425294"/>
            </a:ext>
            <a:ext uri="{FF2B5EF4-FFF2-40B4-BE49-F238E27FC236}">
              <a16:creationId xmlns:a16="http://schemas.microsoft.com/office/drawing/2014/main" id="{00000000-0008-0000-0100-00008EBF15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981075</xdr:colOff>
          <xdr:row>52</xdr:row>
          <xdr:rowOff>9525</xdr:rowOff>
        </xdr:from>
        <xdr:to>
          <xdr:col>2</xdr:col>
          <xdr:colOff>0</xdr:colOff>
          <xdr:row>53</xdr:row>
          <xdr:rowOff>0</xdr:rowOff>
        </xdr:to>
        <xdr:sp macro="" textlink="">
          <xdr:nvSpPr>
            <xdr:cNvPr id="4779462" name="Spinner 4550" hidden="1">
              <a:extLst>
                <a:ext uri="{63B3BB69-23CF-44E3-9099-C40C66FF867C}">
                  <a14:compatExt spid="_x0000_s4779462"/>
                </a:ext>
                <a:ext uri="{FF2B5EF4-FFF2-40B4-BE49-F238E27FC236}">
                  <a16:creationId xmlns:a16="http://schemas.microsoft.com/office/drawing/2014/main" id="{00000000-0008-0000-0100-0000C6ED4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xdr:twoCellAnchor editAs="oneCell">
    <xdr:from>
      <xdr:col>1</xdr:col>
      <xdr:colOff>19050</xdr:colOff>
      <xdr:row>93</xdr:row>
      <xdr:rowOff>66675</xdr:rowOff>
    </xdr:from>
    <xdr:to>
      <xdr:col>4</xdr:col>
      <xdr:colOff>57150</xdr:colOff>
      <xdr:row>99</xdr:row>
      <xdr:rowOff>76200</xdr:rowOff>
    </xdr:to>
    <xdr:pic>
      <xdr:nvPicPr>
        <xdr:cNvPr id="2" name="Picture 193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5135225"/>
          <a:ext cx="2647950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</xdr:row>
      <xdr:rowOff>0</xdr:rowOff>
    </xdr:from>
    <xdr:to>
      <xdr:col>10</xdr:col>
      <xdr:colOff>622300</xdr:colOff>
      <xdr:row>19</xdr:row>
      <xdr:rowOff>0</xdr:rowOff>
    </xdr:to>
    <xdr:graphicFrame macro="">
      <xdr:nvGraphicFramePr>
        <xdr:cNvPr id="5105813" name="Graphique 1">
          <a:extLst>
            <a:ext uri="{FF2B5EF4-FFF2-40B4-BE49-F238E27FC236}">
              <a16:creationId xmlns:a16="http://schemas.microsoft.com/office/drawing/2014/main" id="{00000000-0008-0000-0200-000095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165100</xdr:colOff>
      <xdr:row>37</xdr:row>
      <xdr:rowOff>0</xdr:rowOff>
    </xdr:from>
    <xdr:to>
      <xdr:col>10</xdr:col>
      <xdr:colOff>622300</xdr:colOff>
      <xdr:row>55</xdr:row>
      <xdr:rowOff>0</xdr:rowOff>
    </xdr:to>
    <xdr:graphicFrame macro="">
      <xdr:nvGraphicFramePr>
        <xdr:cNvPr id="5105814" name="Graphique 2">
          <a:extLst>
            <a:ext uri="{FF2B5EF4-FFF2-40B4-BE49-F238E27FC236}">
              <a16:creationId xmlns:a16="http://schemas.microsoft.com/office/drawing/2014/main" id="{00000000-0008-0000-0200-000096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165100</xdr:colOff>
      <xdr:row>19</xdr:row>
      <xdr:rowOff>0</xdr:rowOff>
    </xdr:from>
    <xdr:to>
      <xdr:col>10</xdr:col>
      <xdr:colOff>622300</xdr:colOff>
      <xdr:row>37</xdr:row>
      <xdr:rowOff>0</xdr:rowOff>
    </xdr:to>
    <xdr:graphicFrame macro="">
      <xdr:nvGraphicFramePr>
        <xdr:cNvPr id="5105815" name="Graphique 3">
          <a:extLst>
            <a:ext uri="{FF2B5EF4-FFF2-40B4-BE49-F238E27FC236}">
              <a16:creationId xmlns:a16="http://schemas.microsoft.com/office/drawing/2014/main" id="{00000000-0008-0000-0200-000097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165100</xdr:colOff>
      <xdr:row>55</xdr:row>
      <xdr:rowOff>0</xdr:rowOff>
    </xdr:from>
    <xdr:to>
      <xdr:col>10</xdr:col>
      <xdr:colOff>622300</xdr:colOff>
      <xdr:row>73</xdr:row>
      <xdr:rowOff>0</xdr:rowOff>
    </xdr:to>
    <xdr:graphicFrame macro="">
      <xdr:nvGraphicFramePr>
        <xdr:cNvPr id="5105816" name="Graphique 4">
          <a:extLst>
            <a:ext uri="{FF2B5EF4-FFF2-40B4-BE49-F238E27FC236}">
              <a16:creationId xmlns:a16="http://schemas.microsoft.com/office/drawing/2014/main" id="{00000000-0008-0000-0200-000098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4</xdr:row>
      <xdr:rowOff>44450</xdr:rowOff>
    </xdr:from>
    <xdr:to>
      <xdr:col>7</xdr:col>
      <xdr:colOff>215900</xdr:colOff>
      <xdr:row>19</xdr:row>
      <xdr:rowOff>133350</xdr:rowOff>
    </xdr:to>
    <xdr:graphicFrame macro="">
      <xdr:nvGraphicFramePr>
        <xdr:cNvPr id="5110822" name="Graphique 1">
          <a:extLst>
            <a:ext uri="{FF2B5EF4-FFF2-40B4-BE49-F238E27FC236}">
              <a16:creationId xmlns:a16="http://schemas.microsoft.com/office/drawing/2014/main" id="{00000000-0008-0000-0300-000026FC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273050</xdr:colOff>
      <xdr:row>1008</xdr:row>
      <xdr:rowOff>146050</xdr:rowOff>
    </xdr:from>
    <xdr:to>
      <xdr:col>16</xdr:col>
      <xdr:colOff>152400</xdr:colOff>
      <xdr:row>1010</xdr:row>
      <xdr:rowOff>82550</xdr:rowOff>
    </xdr:to>
    <xdr:sp macro="" textlink="">
      <xdr:nvSpPr>
        <xdr:cNvPr id="3393" name="Line 60">
          <a:extLst>
            <a:ext uri="{FF2B5EF4-FFF2-40B4-BE49-F238E27FC236}">
              <a16:creationId xmlns:a16="http://schemas.microsoft.com/office/drawing/2014/main" id="{00000000-0008-0000-0400-0000410D0000}"/>
            </a:ext>
          </a:extLst>
        </xdr:cNvPr>
        <xdr:cNvSpPr>
          <a:spLocks noChangeShapeType="1"/>
        </xdr:cNvSpPr>
      </xdr:nvSpPr>
      <xdr:spPr bwMode="auto">
        <a:xfrm flipH="1">
          <a:off x="5759450" y="160172400"/>
          <a:ext cx="1098550" cy="254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279400</xdr:colOff>
      <xdr:row>1011</xdr:row>
      <xdr:rowOff>95250</xdr:rowOff>
    </xdr:from>
    <xdr:to>
      <xdr:col>17</xdr:col>
      <xdr:colOff>349250</xdr:colOff>
      <xdr:row>1013</xdr:row>
      <xdr:rowOff>139700</xdr:rowOff>
    </xdr:to>
    <xdr:sp macro="" textlink="">
      <xdr:nvSpPr>
        <xdr:cNvPr id="3394" name="Line 71">
          <a:extLst>
            <a:ext uri="{FF2B5EF4-FFF2-40B4-BE49-F238E27FC236}">
              <a16:creationId xmlns:a16="http://schemas.microsoft.com/office/drawing/2014/main" id="{00000000-0008-0000-0400-0000420D0000}"/>
            </a:ext>
          </a:extLst>
        </xdr:cNvPr>
        <xdr:cNvSpPr>
          <a:spLocks noChangeShapeType="1"/>
        </xdr:cNvSpPr>
      </xdr:nvSpPr>
      <xdr:spPr bwMode="auto">
        <a:xfrm flipH="1" flipV="1">
          <a:off x="5765800" y="160597850"/>
          <a:ext cx="189230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279400</xdr:colOff>
      <xdr:row>1012</xdr:row>
      <xdr:rowOff>139700</xdr:rowOff>
    </xdr:from>
    <xdr:to>
      <xdr:col>17</xdr:col>
      <xdr:colOff>349250</xdr:colOff>
      <xdr:row>1015</xdr:row>
      <xdr:rowOff>25400</xdr:rowOff>
    </xdr:to>
    <xdr:sp macro="" textlink="">
      <xdr:nvSpPr>
        <xdr:cNvPr id="3395" name="Line 71">
          <a:extLst>
            <a:ext uri="{FF2B5EF4-FFF2-40B4-BE49-F238E27FC236}">
              <a16:creationId xmlns:a16="http://schemas.microsoft.com/office/drawing/2014/main" id="{00000000-0008-0000-0400-0000430D0000}"/>
            </a:ext>
          </a:extLst>
        </xdr:cNvPr>
        <xdr:cNvSpPr>
          <a:spLocks noChangeShapeType="1"/>
        </xdr:cNvSpPr>
      </xdr:nvSpPr>
      <xdr:spPr bwMode="auto">
        <a:xfrm flipH="1" flipV="1">
          <a:off x="5765800" y="160801050"/>
          <a:ext cx="189230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18</xdr:col>
      <xdr:colOff>9525</xdr:colOff>
      <xdr:row>1010</xdr:row>
      <xdr:rowOff>85725</xdr:rowOff>
    </xdr:from>
    <xdr:to>
      <xdr:col>20</xdr:col>
      <xdr:colOff>238125</xdr:colOff>
      <xdr:row>1013</xdr:row>
      <xdr:rowOff>19050</xdr:rowOff>
    </xdr:to>
    <xdr:sp macro="" textlink="">
      <xdr:nvSpPr>
        <xdr:cNvPr id="3091" name="Object 19" hidden="1">
          <a:extLst>
            <a:ext uri="{63B3BB69-23CF-44E3-9099-C40C66FF867C}">
              <a14:compatExt xmlns:a14="http://schemas.microsoft.com/office/drawing/2010/main" spid="_x0000_s3091"/>
            </a:ext>
            <a:ext uri="{FF2B5EF4-FFF2-40B4-BE49-F238E27FC236}">
              <a16:creationId xmlns:a16="http://schemas.microsoft.com/office/drawing/2014/main" id="{00000000-0008-0000-0400-000013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21</xdr:col>
      <xdr:colOff>19050</xdr:colOff>
      <xdr:row>1024</xdr:row>
      <xdr:rowOff>133350</xdr:rowOff>
    </xdr:from>
    <xdr:to>
      <xdr:col>25</xdr:col>
      <xdr:colOff>381000</xdr:colOff>
      <xdr:row>1026</xdr:row>
      <xdr:rowOff>66675</xdr:rowOff>
    </xdr:to>
    <xdr:sp macro="" textlink="">
      <xdr:nvSpPr>
        <xdr:cNvPr id="3092" name="Object 20" hidden="1">
          <a:extLst>
            <a:ext uri="{63B3BB69-23CF-44E3-9099-C40C66FF867C}">
              <a14:compatExt xmlns:a14="http://schemas.microsoft.com/office/drawing/2010/main" spid="_x0000_s3092"/>
            </a:ext>
            <a:ext uri="{FF2B5EF4-FFF2-40B4-BE49-F238E27FC236}">
              <a16:creationId xmlns:a16="http://schemas.microsoft.com/office/drawing/2014/main" id="{00000000-0008-0000-0400-000014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16</xdr:col>
      <xdr:colOff>209550</xdr:colOff>
      <xdr:row>1006</xdr:row>
      <xdr:rowOff>19050</xdr:rowOff>
    </xdr:from>
    <xdr:to>
      <xdr:col>24</xdr:col>
      <xdr:colOff>123825</xdr:colOff>
      <xdr:row>1007</xdr:row>
      <xdr:rowOff>85725</xdr:rowOff>
    </xdr:to>
    <xdr:sp macro="" textlink="">
      <xdr:nvSpPr>
        <xdr:cNvPr id="3096" name="Object 24" hidden="1">
          <a:extLst>
            <a:ext uri="{63B3BB69-23CF-44E3-9099-C40C66FF867C}">
              <a14:compatExt xmlns:a14="http://schemas.microsoft.com/office/drawing/2010/main" spid="_x0000_s3096"/>
            </a:ext>
            <a:ext uri="{FF2B5EF4-FFF2-40B4-BE49-F238E27FC236}">
              <a16:creationId xmlns:a16="http://schemas.microsoft.com/office/drawing/2014/main" id="{00000000-0008-0000-0400-000018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7</xdr:col>
      <xdr:colOff>9525</xdr:colOff>
      <xdr:row>1017</xdr:row>
      <xdr:rowOff>142875</xdr:rowOff>
    </xdr:from>
    <xdr:to>
      <xdr:col>10</xdr:col>
      <xdr:colOff>485775</xdr:colOff>
      <xdr:row>1019</xdr:row>
      <xdr:rowOff>114300</xdr:rowOff>
    </xdr:to>
    <xdr:sp macro="" textlink="">
      <xdr:nvSpPr>
        <xdr:cNvPr id="3112" name="Object 40" hidden="1">
          <a:extLst>
            <a:ext uri="{63B3BB69-23CF-44E3-9099-C40C66FF867C}">
              <a14:compatExt xmlns:a14="http://schemas.microsoft.com/office/drawing/2010/main" spid="_x0000_s3112"/>
            </a:ext>
            <a:ext uri="{FF2B5EF4-FFF2-40B4-BE49-F238E27FC236}">
              <a16:creationId xmlns:a16="http://schemas.microsoft.com/office/drawing/2014/main" id="{00000000-0008-0000-0400-000028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7</xdr:col>
      <xdr:colOff>9525</xdr:colOff>
      <xdr:row>1014</xdr:row>
      <xdr:rowOff>142875</xdr:rowOff>
    </xdr:from>
    <xdr:to>
      <xdr:col>11</xdr:col>
      <xdr:colOff>219075</xdr:colOff>
      <xdr:row>1016</xdr:row>
      <xdr:rowOff>57150</xdr:rowOff>
    </xdr:to>
    <xdr:sp macro="" textlink="">
      <xdr:nvSpPr>
        <xdr:cNvPr id="3114" name="Object 42" hidden="1">
          <a:extLst>
            <a:ext uri="{63B3BB69-23CF-44E3-9099-C40C66FF867C}">
              <a14:compatExt xmlns:a14="http://schemas.microsoft.com/office/drawing/2010/main" spid="_x0000_s3114"/>
            </a:ext>
            <a:ext uri="{FF2B5EF4-FFF2-40B4-BE49-F238E27FC236}">
              <a16:creationId xmlns:a16="http://schemas.microsoft.com/office/drawing/2014/main" id="{00000000-0008-0000-0400-00002A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7</xdr:col>
      <xdr:colOff>9525</xdr:colOff>
      <xdr:row>1016</xdr:row>
      <xdr:rowOff>66675</xdr:rowOff>
    </xdr:from>
    <xdr:to>
      <xdr:col>11</xdr:col>
      <xdr:colOff>200025</xdr:colOff>
      <xdr:row>1017</xdr:row>
      <xdr:rowOff>133350</xdr:rowOff>
    </xdr:to>
    <xdr:sp macro="" textlink="">
      <xdr:nvSpPr>
        <xdr:cNvPr id="3115" name="Object 43" hidden="1">
          <a:extLst>
            <a:ext uri="{63B3BB69-23CF-44E3-9099-C40C66FF867C}">
              <a14:compatExt xmlns:a14="http://schemas.microsoft.com/office/drawing/2010/main" spid="_x0000_s3115"/>
            </a:ext>
            <a:ext uri="{FF2B5EF4-FFF2-40B4-BE49-F238E27FC236}">
              <a16:creationId xmlns:a16="http://schemas.microsoft.com/office/drawing/2014/main" id="{00000000-0008-0000-0400-00002B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10</xdr:col>
      <xdr:colOff>0</xdr:colOff>
      <xdr:row>1022</xdr:row>
      <xdr:rowOff>57150</xdr:rowOff>
    </xdr:from>
    <xdr:to>
      <xdr:col>17</xdr:col>
      <xdr:colOff>228600</xdr:colOff>
      <xdr:row>1024</xdr:row>
      <xdr:rowOff>142875</xdr:rowOff>
    </xdr:to>
    <xdr:sp macro="" textlink="">
      <xdr:nvSpPr>
        <xdr:cNvPr id="3119" name="Object 47" hidden="1">
          <a:extLst>
            <a:ext uri="{63B3BB69-23CF-44E3-9099-C40C66FF867C}">
              <a14:compatExt xmlns:a14="http://schemas.microsoft.com/office/drawing/2010/main" spid="_x0000_s3119"/>
            </a:ext>
            <a:ext uri="{FF2B5EF4-FFF2-40B4-BE49-F238E27FC236}">
              <a16:creationId xmlns:a16="http://schemas.microsoft.com/office/drawing/2014/main" id="{00000000-0008-0000-0400-00002F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1008</xdr:row>
      <xdr:rowOff>0</xdr:rowOff>
    </xdr:from>
    <xdr:to>
      <xdr:col>11</xdr:col>
      <xdr:colOff>200025</xdr:colOff>
      <xdr:row>1010</xdr:row>
      <xdr:rowOff>76200</xdr:rowOff>
    </xdr:to>
    <xdr:sp macro="" textlink="">
      <xdr:nvSpPr>
        <xdr:cNvPr id="3120" name="Object 48" hidden="1">
          <a:extLst>
            <a:ext uri="{63B3BB69-23CF-44E3-9099-C40C66FF867C}">
              <a14:compatExt xmlns:a14="http://schemas.microsoft.com/office/drawing/2010/main" spid="_x0000_s3120"/>
            </a:ext>
            <a:ext uri="{FF2B5EF4-FFF2-40B4-BE49-F238E27FC236}">
              <a16:creationId xmlns:a16="http://schemas.microsoft.com/office/drawing/2014/main" id="{00000000-0008-0000-0400-000030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1010</xdr:row>
      <xdr:rowOff>85725</xdr:rowOff>
    </xdr:from>
    <xdr:to>
      <xdr:col>12</xdr:col>
      <xdr:colOff>200025</xdr:colOff>
      <xdr:row>1013</xdr:row>
      <xdr:rowOff>0</xdr:rowOff>
    </xdr:to>
    <xdr:sp macro="" textlink="">
      <xdr:nvSpPr>
        <xdr:cNvPr id="3121" name="Object 49" hidden="1">
          <a:extLst>
            <a:ext uri="{63B3BB69-23CF-44E3-9099-C40C66FF867C}">
              <a14:compatExt xmlns:a14="http://schemas.microsoft.com/office/drawing/2010/main" spid="_x0000_s3121"/>
            </a:ext>
            <a:ext uri="{FF2B5EF4-FFF2-40B4-BE49-F238E27FC236}">
              <a16:creationId xmlns:a16="http://schemas.microsoft.com/office/drawing/2014/main" id="{00000000-0008-0000-0400-000031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</xdr:colOff>
      <xdr:row>1006</xdr:row>
      <xdr:rowOff>85725</xdr:rowOff>
    </xdr:from>
    <xdr:to>
      <xdr:col>3</xdr:col>
      <xdr:colOff>447675</xdr:colOff>
      <xdr:row>1007</xdr:row>
      <xdr:rowOff>142875</xdr:rowOff>
    </xdr:to>
    <xdr:sp macro="" textlink="">
      <xdr:nvSpPr>
        <xdr:cNvPr id="3122" name="Object 50" hidden="1">
          <a:extLst>
            <a:ext uri="{63B3BB69-23CF-44E3-9099-C40C66FF867C}">
              <a14:compatExt xmlns:a14="http://schemas.microsoft.com/office/drawing/2010/main" spid="_x0000_s3122"/>
            </a:ext>
            <a:ext uri="{FF2B5EF4-FFF2-40B4-BE49-F238E27FC236}">
              <a16:creationId xmlns:a16="http://schemas.microsoft.com/office/drawing/2014/main" id="{00000000-0008-0000-0400-000032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10</xdr:col>
      <xdr:colOff>0</xdr:colOff>
      <xdr:row>1024</xdr:row>
      <xdr:rowOff>142875</xdr:rowOff>
    </xdr:from>
    <xdr:to>
      <xdr:col>16</xdr:col>
      <xdr:colOff>0</xdr:colOff>
      <xdr:row>1026</xdr:row>
      <xdr:rowOff>123825</xdr:rowOff>
    </xdr:to>
    <xdr:sp macro="" textlink="">
      <xdr:nvSpPr>
        <xdr:cNvPr id="3124" name="Object 52" hidden="1">
          <a:extLst>
            <a:ext uri="{63B3BB69-23CF-44E3-9099-C40C66FF867C}">
              <a14:compatExt xmlns:a14="http://schemas.microsoft.com/office/drawing/2010/main" spid="_x0000_s3124"/>
            </a:ext>
            <a:ext uri="{FF2B5EF4-FFF2-40B4-BE49-F238E27FC236}">
              <a16:creationId xmlns:a16="http://schemas.microsoft.com/office/drawing/2014/main" id="{00000000-0008-0000-0400-000034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9525</xdr:colOff>
      <xdr:row>1013</xdr:row>
      <xdr:rowOff>28575</xdr:rowOff>
    </xdr:from>
    <xdr:to>
      <xdr:col>21</xdr:col>
      <xdr:colOff>19050</xdr:colOff>
      <xdr:row>1014</xdr:row>
      <xdr:rowOff>95250</xdr:rowOff>
    </xdr:to>
    <xdr:sp macro="" textlink="">
      <xdr:nvSpPr>
        <xdr:cNvPr id="3125" name="Object 53" hidden="1">
          <a:extLst>
            <a:ext uri="{63B3BB69-23CF-44E3-9099-C40C66FF867C}">
              <a14:compatExt xmlns:a14="http://schemas.microsoft.com/office/drawing/2010/main" spid="_x0000_s3125"/>
            </a:ext>
            <a:ext uri="{FF2B5EF4-FFF2-40B4-BE49-F238E27FC236}">
              <a16:creationId xmlns:a16="http://schemas.microsoft.com/office/drawing/2014/main" id="{00000000-0008-0000-0400-000035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</xdr:colOff>
      <xdr:row>1005</xdr:row>
      <xdr:rowOff>9525</xdr:rowOff>
    </xdr:from>
    <xdr:to>
      <xdr:col>10</xdr:col>
      <xdr:colOff>333375</xdr:colOff>
      <xdr:row>1006</xdr:row>
      <xdr:rowOff>76200</xdr:rowOff>
    </xdr:to>
    <xdr:sp macro="" textlink="">
      <xdr:nvSpPr>
        <xdr:cNvPr id="3127" name="Object 55" hidden="1">
          <a:extLst>
            <a:ext uri="{63B3BB69-23CF-44E3-9099-C40C66FF867C}">
              <a14:compatExt xmlns:a14="http://schemas.microsoft.com/office/drawing/2010/main" spid="_x0000_s3127"/>
            </a:ext>
            <a:ext uri="{FF2B5EF4-FFF2-40B4-BE49-F238E27FC236}">
              <a16:creationId xmlns:a16="http://schemas.microsoft.com/office/drawing/2014/main" id="{00000000-0008-0000-0400-000037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1013</xdr:row>
      <xdr:rowOff>9525</xdr:rowOff>
    </xdr:from>
    <xdr:to>
      <xdr:col>8</xdr:col>
      <xdr:colOff>161925</xdr:colOff>
      <xdr:row>1014</xdr:row>
      <xdr:rowOff>142875</xdr:rowOff>
    </xdr:to>
    <xdr:sp macro="" textlink="">
      <xdr:nvSpPr>
        <xdr:cNvPr id="3129" name="Object 57" hidden="1">
          <a:extLst>
            <a:ext uri="{63B3BB69-23CF-44E3-9099-C40C66FF867C}">
              <a14:compatExt xmlns:a14="http://schemas.microsoft.com/office/drawing/2010/main" spid="_x0000_s3129"/>
            </a:ext>
            <a:ext uri="{FF2B5EF4-FFF2-40B4-BE49-F238E27FC236}">
              <a16:creationId xmlns:a16="http://schemas.microsoft.com/office/drawing/2014/main" id="{00000000-0008-0000-0400-000039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20</xdr:col>
      <xdr:colOff>9525</xdr:colOff>
      <xdr:row>1018</xdr:row>
      <xdr:rowOff>47625</xdr:rowOff>
    </xdr:from>
    <xdr:to>
      <xdr:col>24</xdr:col>
      <xdr:colOff>904875</xdr:colOff>
      <xdr:row>1019</xdr:row>
      <xdr:rowOff>114300</xdr:rowOff>
    </xdr:to>
    <xdr:sp macro="" textlink="">
      <xdr:nvSpPr>
        <xdr:cNvPr id="3131" name="Object 59" hidden="1">
          <a:extLst>
            <a:ext uri="{63B3BB69-23CF-44E3-9099-C40C66FF867C}">
              <a14:compatExt xmlns:a14="http://schemas.microsoft.com/office/drawing/2010/main" spid="_x0000_s3131"/>
            </a:ext>
            <a:ext uri="{FF2B5EF4-FFF2-40B4-BE49-F238E27FC236}">
              <a16:creationId xmlns:a16="http://schemas.microsoft.com/office/drawing/2014/main" id="{00000000-0008-0000-0400-00003B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10</xdr:col>
      <xdr:colOff>0</xdr:colOff>
      <xdr:row>1019</xdr:row>
      <xdr:rowOff>123825</xdr:rowOff>
    </xdr:from>
    <xdr:to>
      <xdr:col>20</xdr:col>
      <xdr:colOff>485775</xdr:colOff>
      <xdr:row>1022</xdr:row>
      <xdr:rowOff>47625</xdr:rowOff>
    </xdr:to>
    <xdr:sp macro="" textlink="">
      <xdr:nvSpPr>
        <xdr:cNvPr id="3134" name="Object 62" hidden="1">
          <a:extLst>
            <a:ext uri="{63B3BB69-23CF-44E3-9099-C40C66FF867C}">
              <a14:compatExt xmlns:a14="http://schemas.microsoft.com/office/drawing/2010/main" spid="_x0000_s3134"/>
            </a:ext>
            <a:ext uri="{FF2B5EF4-FFF2-40B4-BE49-F238E27FC236}">
              <a16:creationId xmlns:a16="http://schemas.microsoft.com/office/drawing/2014/main" id="{00000000-0008-0000-0400-00003E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1018</xdr:row>
      <xdr:rowOff>47625</xdr:rowOff>
    </xdr:from>
    <xdr:to>
      <xdr:col>19</xdr:col>
      <xdr:colOff>152400</xdr:colOff>
      <xdr:row>1019</xdr:row>
      <xdr:rowOff>114300</xdr:rowOff>
    </xdr:to>
    <xdr:sp macro="" textlink="">
      <xdr:nvSpPr>
        <xdr:cNvPr id="3135" name="Object 63" hidden="1">
          <a:extLst>
            <a:ext uri="{63B3BB69-23CF-44E3-9099-C40C66FF867C}">
              <a14:compatExt xmlns:a14="http://schemas.microsoft.com/office/drawing/2010/main" spid="_x0000_s3135"/>
            </a:ext>
            <a:ext uri="{FF2B5EF4-FFF2-40B4-BE49-F238E27FC236}">
              <a16:creationId xmlns:a16="http://schemas.microsoft.com/office/drawing/2014/main" id="{00000000-0008-0000-0400-00003F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9525</xdr:colOff>
      <xdr:row>1007</xdr:row>
      <xdr:rowOff>104775</xdr:rowOff>
    </xdr:from>
    <xdr:to>
      <xdr:col>37</xdr:col>
      <xdr:colOff>238125</xdr:colOff>
      <xdr:row>1010</xdr:row>
      <xdr:rowOff>66675</xdr:rowOff>
    </xdr:to>
    <xdr:sp macro="" textlink="">
      <xdr:nvSpPr>
        <xdr:cNvPr id="3141" name="Object 69" hidden="1">
          <a:extLst>
            <a:ext uri="{63B3BB69-23CF-44E3-9099-C40C66FF867C}">
              <a14:compatExt xmlns:a14="http://schemas.microsoft.com/office/drawing/2010/main" spid="_x0000_s3141"/>
            </a:ext>
            <a:ext uri="{FF2B5EF4-FFF2-40B4-BE49-F238E27FC236}">
              <a16:creationId xmlns:a16="http://schemas.microsoft.com/office/drawing/2014/main" id="{00000000-0008-0000-0400-000045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9525</xdr:colOff>
      <xdr:row>1010</xdr:row>
      <xdr:rowOff>76200</xdr:rowOff>
    </xdr:from>
    <xdr:to>
      <xdr:col>35</xdr:col>
      <xdr:colOff>600075</xdr:colOff>
      <xdr:row>1013</xdr:row>
      <xdr:rowOff>38100</xdr:rowOff>
    </xdr:to>
    <xdr:sp macro="" textlink="">
      <xdr:nvSpPr>
        <xdr:cNvPr id="3142" name="Object 70" hidden="1">
          <a:extLst>
            <a:ext uri="{63B3BB69-23CF-44E3-9099-C40C66FF867C}">
              <a14:compatExt xmlns:a14="http://schemas.microsoft.com/office/drawing/2010/main" spid="_x0000_s3142"/>
            </a:ext>
            <a:ext uri="{FF2B5EF4-FFF2-40B4-BE49-F238E27FC236}">
              <a16:creationId xmlns:a16="http://schemas.microsoft.com/office/drawing/2014/main" id="{00000000-0008-0000-0400-000046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1035</xdr:row>
      <xdr:rowOff>19050</xdr:rowOff>
    </xdr:from>
    <xdr:to>
      <xdr:col>11</xdr:col>
      <xdr:colOff>466725</xdr:colOff>
      <xdr:row>1038</xdr:row>
      <xdr:rowOff>19050</xdr:rowOff>
    </xdr:to>
    <xdr:sp macro="" textlink="">
      <xdr:nvSpPr>
        <xdr:cNvPr id="3157" name="Object 85" hidden="1">
          <a:extLst>
            <a:ext uri="{63B3BB69-23CF-44E3-9099-C40C66FF867C}">
              <a14:compatExt xmlns:a14="http://schemas.microsoft.com/office/drawing/2010/main" spid="_x0000_s3157"/>
            </a:ext>
            <a:ext uri="{FF2B5EF4-FFF2-40B4-BE49-F238E27FC236}">
              <a16:creationId xmlns:a16="http://schemas.microsoft.com/office/drawing/2014/main" id="{00000000-0008-0000-0400-000055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1040</xdr:row>
      <xdr:rowOff>19050</xdr:rowOff>
    </xdr:from>
    <xdr:to>
      <xdr:col>12</xdr:col>
      <xdr:colOff>28575</xdr:colOff>
      <xdr:row>1043</xdr:row>
      <xdr:rowOff>19050</xdr:rowOff>
    </xdr:to>
    <xdr:sp macro="" textlink="">
      <xdr:nvSpPr>
        <xdr:cNvPr id="3158" name="Object 86" hidden="1">
          <a:extLst>
            <a:ext uri="{63B3BB69-23CF-44E3-9099-C40C66FF867C}">
              <a14:compatExt xmlns:a14="http://schemas.microsoft.com/office/drawing/2010/main" spid="_x0000_s3158"/>
            </a:ext>
            <a:ext uri="{FF2B5EF4-FFF2-40B4-BE49-F238E27FC236}">
              <a16:creationId xmlns:a16="http://schemas.microsoft.com/office/drawing/2014/main" id="{00000000-0008-0000-0400-000056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9525</xdr:colOff>
      <xdr:row>1014</xdr:row>
      <xdr:rowOff>104775</xdr:rowOff>
    </xdr:from>
    <xdr:to>
      <xdr:col>20</xdr:col>
      <xdr:colOff>276225</xdr:colOff>
      <xdr:row>1016</xdr:row>
      <xdr:rowOff>9525</xdr:rowOff>
    </xdr:to>
    <xdr:sp macro="" textlink="">
      <xdr:nvSpPr>
        <xdr:cNvPr id="3161" name="Object 89" hidden="1">
          <a:extLst>
            <a:ext uri="{63B3BB69-23CF-44E3-9099-C40C66FF867C}">
              <a14:compatExt xmlns:a14="http://schemas.microsoft.com/office/drawing/2010/main" spid="_x0000_s3161"/>
            </a:ext>
            <a:ext uri="{FF2B5EF4-FFF2-40B4-BE49-F238E27FC236}">
              <a16:creationId xmlns:a16="http://schemas.microsoft.com/office/drawing/2014/main" id="{00000000-0008-0000-0400-000059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16</xdr:col>
      <xdr:colOff>209550</xdr:colOff>
      <xdr:row>1007</xdr:row>
      <xdr:rowOff>95250</xdr:rowOff>
    </xdr:from>
    <xdr:to>
      <xdr:col>32</xdr:col>
      <xdr:colOff>142875</xdr:colOff>
      <xdr:row>1010</xdr:row>
      <xdr:rowOff>76200</xdr:rowOff>
    </xdr:to>
    <xdr:sp macro="" textlink="">
      <xdr:nvSpPr>
        <xdr:cNvPr id="3162" name="Object 90" hidden="1">
          <a:extLst>
            <a:ext uri="{63B3BB69-23CF-44E3-9099-C40C66FF867C}">
              <a14:compatExt xmlns:a14="http://schemas.microsoft.com/office/drawing/2010/main" spid="_x0000_s3162"/>
            </a:ext>
            <a:ext uri="{FF2B5EF4-FFF2-40B4-BE49-F238E27FC236}">
              <a16:creationId xmlns:a16="http://schemas.microsoft.com/office/drawing/2014/main" id="{00000000-0008-0000-0400-00005A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1055</xdr:row>
      <xdr:rowOff>28575</xdr:rowOff>
    </xdr:from>
    <xdr:to>
      <xdr:col>12</xdr:col>
      <xdr:colOff>276225</xdr:colOff>
      <xdr:row>1058</xdr:row>
      <xdr:rowOff>47625</xdr:rowOff>
    </xdr:to>
    <xdr:sp macro="" textlink="">
      <xdr:nvSpPr>
        <xdr:cNvPr id="3167" name="Object 95" hidden="1">
          <a:extLst>
            <a:ext uri="{63B3BB69-23CF-44E3-9099-C40C66FF867C}">
              <a14:compatExt xmlns:a14="http://schemas.microsoft.com/office/drawing/2010/main" spid="_x0000_s3167"/>
            </a:ext>
            <a:ext uri="{FF2B5EF4-FFF2-40B4-BE49-F238E27FC236}">
              <a16:creationId xmlns:a16="http://schemas.microsoft.com/office/drawing/2014/main" id="{00000000-0008-0000-0400-00005F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1060</xdr:row>
      <xdr:rowOff>28575</xdr:rowOff>
    </xdr:from>
    <xdr:to>
      <xdr:col>15</xdr:col>
      <xdr:colOff>47625</xdr:colOff>
      <xdr:row>1063</xdr:row>
      <xdr:rowOff>47625</xdr:rowOff>
    </xdr:to>
    <xdr:sp macro="" textlink="">
      <xdr:nvSpPr>
        <xdr:cNvPr id="3168" name="Object 96" hidden="1">
          <a:extLst>
            <a:ext uri="{63B3BB69-23CF-44E3-9099-C40C66FF867C}">
              <a14:compatExt xmlns:a14="http://schemas.microsoft.com/office/drawing/2010/main" spid="_x0000_s3168"/>
            </a:ext>
            <a:ext uri="{FF2B5EF4-FFF2-40B4-BE49-F238E27FC236}">
              <a16:creationId xmlns:a16="http://schemas.microsoft.com/office/drawing/2014/main" id="{00000000-0008-0000-0400-000060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1065</xdr:row>
      <xdr:rowOff>28575</xdr:rowOff>
    </xdr:from>
    <xdr:to>
      <xdr:col>16</xdr:col>
      <xdr:colOff>561975</xdr:colOff>
      <xdr:row>1068</xdr:row>
      <xdr:rowOff>47625</xdr:rowOff>
    </xdr:to>
    <xdr:sp macro="" textlink="">
      <xdr:nvSpPr>
        <xdr:cNvPr id="3169" name="Object 97" hidden="1">
          <a:extLst>
            <a:ext uri="{63B3BB69-23CF-44E3-9099-C40C66FF867C}">
              <a14:compatExt xmlns:a14="http://schemas.microsoft.com/office/drawing/2010/main" spid="_x0000_s3169"/>
            </a:ext>
            <a:ext uri="{FF2B5EF4-FFF2-40B4-BE49-F238E27FC236}">
              <a16:creationId xmlns:a16="http://schemas.microsoft.com/office/drawing/2014/main" id="{00000000-0008-0000-0400-000061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1045</xdr:row>
      <xdr:rowOff>28575</xdr:rowOff>
    </xdr:from>
    <xdr:to>
      <xdr:col>16</xdr:col>
      <xdr:colOff>85725</xdr:colOff>
      <xdr:row>1048</xdr:row>
      <xdr:rowOff>28575</xdr:rowOff>
    </xdr:to>
    <xdr:sp macro="" textlink="">
      <xdr:nvSpPr>
        <xdr:cNvPr id="3173" name="Object 101" hidden="1">
          <a:extLst>
            <a:ext uri="{63B3BB69-23CF-44E3-9099-C40C66FF867C}">
              <a14:compatExt xmlns:a14="http://schemas.microsoft.com/office/drawing/2010/main" spid="_x0000_s3173"/>
            </a:ext>
            <a:ext uri="{FF2B5EF4-FFF2-40B4-BE49-F238E27FC236}">
              <a16:creationId xmlns:a16="http://schemas.microsoft.com/office/drawing/2014/main" id="{00000000-0008-0000-0400-000065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1050</xdr:row>
      <xdr:rowOff>28575</xdr:rowOff>
    </xdr:from>
    <xdr:to>
      <xdr:col>16</xdr:col>
      <xdr:colOff>323850</xdr:colOff>
      <xdr:row>1053</xdr:row>
      <xdr:rowOff>47625</xdr:rowOff>
    </xdr:to>
    <xdr:sp macro="" textlink="">
      <xdr:nvSpPr>
        <xdr:cNvPr id="3174" name="Object 102" hidden="1">
          <a:extLst>
            <a:ext uri="{63B3BB69-23CF-44E3-9099-C40C66FF867C}">
              <a14:compatExt xmlns:a14="http://schemas.microsoft.com/office/drawing/2010/main" spid="_x0000_s3174"/>
            </a:ext>
            <a:ext uri="{FF2B5EF4-FFF2-40B4-BE49-F238E27FC236}">
              <a16:creationId xmlns:a16="http://schemas.microsoft.com/office/drawing/2014/main" id="{00000000-0008-0000-0400-000066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1070</xdr:row>
      <xdr:rowOff>28575</xdr:rowOff>
    </xdr:from>
    <xdr:to>
      <xdr:col>12</xdr:col>
      <xdr:colOff>342900</xdr:colOff>
      <xdr:row>1073</xdr:row>
      <xdr:rowOff>47625</xdr:rowOff>
    </xdr:to>
    <xdr:sp macro="" textlink="">
      <xdr:nvSpPr>
        <xdr:cNvPr id="3178" name="Object 106" hidden="1">
          <a:extLst>
            <a:ext uri="{63B3BB69-23CF-44E3-9099-C40C66FF867C}">
              <a14:compatExt xmlns:a14="http://schemas.microsoft.com/office/drawing/2010/main" spid="_x0000_s3178"/>
            </a:ext>
            <a:ext uri="{FF2B5EF4-FFF2-40B4-BE49-F238E27FC236}">
              <a16:creationId xmlns:a16="http://schemas.microsoft.com/office/drawing/2014/main" id="{00000000-0008-0000-0400-00006A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1053</xdr:row>
      <xdr:rowOff>28575</xdr:rowOff>
    </xdr:from>
    <xdr:to>
      <xdr:col>32</xdr:col>
      <xdr:colOff>352425</xdr:colOff>
      <xdr:row>1056</xdr:row>
      <xdr:rowOff>28575</xdr:rowOff>
    </xdr:to>
    <xdr:sp macro="" textlink="">
      <xdr:nvSpPr>
        <xdr:cNvPr id="3188" name="Object 116" hidden="1">
          <a:extLst>
            <a:ext uri="{63B3BB69-23CF-44E3-9099-C40C66FF867C}">
              <a14:compatExt xmlns:a14="http://schemas.microsoft.com/office/drawing/2010/main" spid="_x0000_s3188"/>
            </a:ext>
            <a:ext uri="{FF2B5EF4-FFF2-40B4-BE49-F238E27FC236}">
              <a16:creationId xmlns:a16="http://schemas.microsoft.com/office/drawing/2014/main" id="{00000000-0008-0000-0400-000074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21</xdr:col>
      <xdr:colOff>19050</xdr:colOff>
      <xdr:row>1022</xdr:row>
      <xdr:rowOff>47625</xdr:rowOff>
    </xdr:from>
    <xdr:to>
      <xdr:col>32</xdr:col>
      <xdr:colOff>219075</xdr:colOff>
      <xdr:row>1024</xdr:row>
      <xdr:rowOff>114300</xdr:rowOff>
    </xdr:to>
    <xdr:sp macro="" textlink="">
      <xdr:nvSpPr>
        <xdr:cNvPr id="3192" name="Object 120" hidden="1">
          <a:extLst>
            <a:ext uri="{63B3BB69-23CF-44E3-9099-C40C66FF867C}">
              <a14:compatExt xmlns:a14="http://schemas.microsoft.com/office/drawing/2010/main" spid="_x0000_s3192"/>
            </a:ext>
            <a:ext uri="{FF2B5EF4-FFF2-40B4-BE49-F238E27FC236}">
              <a16:creationId xmlns:a16="http://schemas.microsoft.com/office/drawing/2014/main" id="{00000000-0008-0000-0400-000078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0</xdr:colOff>
      <xdr:row>1017</xdr:row>
      <xdr:rowOff>19050</xdr:rowOff>
    </xdr:from>
    <xdr:to>
      <xdr:col>36</xdr:col>
      <xdr:colOff>142875</xdr:colOff>
      <xdr:row>1020</xdr:row>
      <xdr:rowOff>19050</xdr:rowOff>
    </xdr:to>
    <xdr:sp macro="" textlink="">
      <xdr:nvSpPr>
        <xdr:cNvPr id="3220" name="Object 148" hidden="1">
          <a:extLst>
            <a:ext uri="{63B3BB69-23CF-44E3-9099-C40C66FF867C}">
              <a14:compatExt xmlns:a14="http://schemas.microsoft.com/office/drawing/2010/main" spid="_x0000_s3220"/>
            </a:ext>
            <a:ext uri="{FF2B5EF4-FFF2-40B4-BE49-F238E27FC236}">
              <a16:creationId xmlns:a16="http://schemas.microsoft.com/office/drawing/2014/main" id="{00000000-0008-0000-0400-000094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0</xdr:colOff>
      <xdr:row>1014</xdr:row>
      <xdr:rowOff>0</xdr:rowOff>
    </xdr:from>
    <xdr:to>
      <xdr:col>36</xdr:col>
      <xdr:colOff>581025</xdr:colOff>
      <xdr:row>1017</xdr:row>
      <xdr:rowOff>0</xdr:rowOff>
    </xdr:to>
    <xdr:sp macro="" textlink="">
      <xdr:nvSpPr>
        <xdr:cNvPr id="3222" name="Object 150" hidden="1">
          <a:extLst>
            <a:ext uri="{63B3BB69-23CF-44E3-9099-C40C66FF867C}">
              <a14:compatExt xmlns:a14="http://schemas.microsoft.com/office/drawing/2010/main" spid="_x0000_s3222"/>
            </a:ext>
            <a:ext uri="{FF2B5EF4-FFF2-40B4-BE49-F238E27FC236}">
              <a16:creationId xmlns:a16="http://schemas.microsoft.com/office/drawing/2014/main" id="{00000000-0008-0000-0400-000096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0</xdr:colOff>
      <xdr:row>1020</xdr:row>
      <xdr:rowOff>38100</xdr:rowOff>
    </xdr:from>
    <xdr:to>
      <xdr:col>35</xdr:col>
      <xdr:colOff>114300</xdr:colOff>
      <xdr:row>1023</xdr:row>
      <xdr:rowOff>38100</xdr:rowOff>
    </xdr:to>
    <xdr:sp macro="" textlink="">
      <xdr:nvSpPr>
        <xdr:cNvPr id="3223" name="Object 151" hidden="1">
          <a:extLst>
            <a:ext uri="{63B3BB69-23CF-44E3-9099-C40C66FF867C}">
              <a14:compatExt xmlns:a14="http://schemas.microsoft.com/office/drawing/2010/main" spid="_x0000_s3223"/>
            </a:ext>
            <a:ext uri="{FF2B5EF4-FFF2-40B4-BE49-F238E27FC236}">
              <a16:creationId xmlns:a16="http://schemas.microsoft.com/office/drawing/2014/main" id="{00000000-0008-0000-0400-000097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33</xdr:col>
      <xdr:colOff>0</xdr:colOff>
      <xdr:row>1023</xdr:row>
      <xdr:rowOff>57150</xdr:rowOff>
    </xdr:from>
    <xdr:to>
      <xdr:col>36</xdr:col>
      <xdr:colOff>47625</xdr:colOff>
      <xdr:row>1026</xdr:row>
      <xdr:rowOff>57150</xdr:rowOff>
    </xdr:to>
    <xdr:sp macro="" textlink="">
      <xdr:nvSpPr>
        <xdr:cNvPr id="3225" name="Object 153" hidden="1">
          <a:extLst>
            <a:ext uri="{63B3BB69-23CF-44E3-9099-C40C66FF867C}">
              <a14:compatExt xmlns:a14="http://schemas.microsoft.com/office/drawing/2010/main" spid="_x0000_s3225"/>
            </a:ext>
            <a:ext uri="{FF2B5EF4-FFF2-40B4-BE49-F238E27FC236}">
              <a16:creationId xmlns:a16="http://schemas.microsoft.com/office/drawing/2014/main" id="{00000000-0008-0000-0400-000099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1048</xdr:row>
      <xdr:rowOff>28575</xdr:rowOff>
    </xdr:from>
    <xdr:to>
      <xdr:col>34</xdr:col>
      <xdr:colOff>295275</xdr:colOff>
      <xdr:row>1051</xdr:row>
      <xdr:rowOff>76200</xdr:rowOff>
    </xdr:to>
    <xdr:sp macro="" textlink="">
      <xdr:nvSpPr>
        <xdr:cNvPr id="3281" name="Object 209" hidden="1">
          <a:extLst>
            <a:ext uri="{63B3BB69-23CF-44E3-9099-C40C66FF867C}">
              <a14:compatExt xmlns:a14="http://schemas.microsoft.com/office/drawing/2010/main" spid="_x0000_s3281"/>
            </a:ext>
            <a:ext uri="{FF2B5EF4-FFF2-40B4-BE49-F238E27FC236}">
              <a16:creationId xmlns:a16="http://schemas.microsoft.com/office/drawing/2014/main" id="{00000000-0008-0000-0400-0000D1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9525</xdr:colOff>
      <xdr:row>1010</xdr:row>
      <xdr:rowOff>85725</xdr:rowOff>
    </xdr:from>
    <xdr:to>
      <xdr:col>20</xdr:col>
      <xdr:colOff>238125</xdr:colOff>
      <xdr:row>1013</xdr:row>
      <xdr:rowOff>19050</xdr:rowOff>
    </xdr:to>
    <xdr:pic>
      <xdr:nvPicPr>
        <xdr:cNvPr id="2" name="Picture 1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163639500"/>
          <a:ext cx="981075" cy="419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19050</xdr:colOff>
      <xdr:row>1024</xdr:row>
      <xdr:rowOff>133350</xdr:rowOff>
    </xdr:from>
    <xdr:to>
      <xdr:col>25</xdr:col>
      <xdr:colOff>381000</xdr:colOff>
      <xdr:row>1026</xdr:row>
      <xdr:rowOff>66675</xdr:rowOff>
    </xdr:to>
    <xdr:pic>
      <xdr:nvPicPr>
        <xdr:cNvPr id="3" name="Picture 20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165954075"/>
          <a:ext cx="2428875" cy="257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16</xdr:col>
      <xdr:colOff>209550</xdr:colOff>
      <xdr:row>1006</xdr:row>
      <xdr:rowOff>19050</xdr:rowOff>
    </xdr:from>
    <xdr:to>
      <xdr:col>24</xdr:col>
      <xdr:colOff>123825</xdr:colOff>
      <xdr:row>1007</xdr:row>
      <xdr:rowOff>85725</xdr:rowOff>
    </xdr:to>
    <xdr:pic>
      <xdr:nvPicPr>
        <xdr:cNvPr id="4" name="Picture 2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162925125"/>
          <a:ext cx="321945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1017</xdr:row>
      <xdr:rowOff>142875</xdr:rowOff>
    </xdr:from>
    <xdr:to>
      <xdr:col>10</xdr:col>
      <xdr:colOff>485775</xdr:colOff>
      <xdr:row>1019</xdr:row>
      <xdr:rowOff>114300</xdr:rowOff>
    </xdr:to>
    <xdr:pic>
      <xdr:nvPicPr>
        <xdr:cNvPr id="5" name="Picture 4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64830125"/>
          <a:ext cx="195262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1014</xdr:row>
      <xdr:rowOff>142875</xdr:rowOff>
    </xdr:from>
    <xdr:to>
      <xdr:col>11</xdr:col>
      <xdr:colOff>219075</xdr:colOff>
      <xdr:row>1016</xdr:row>
      <xdr:rowOff>57150</xdr:rowOff>
    </xdr:to>
    <xdr:pic>
      <xdr:nvPicPr>
        <xdr:cNvPr id="6" name="Picture 4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64344350"/>
          <a:ext cx="2190750" cy="2381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1016</xdr:row>
      <xdr:rowOff>66675</xdr:rowOff>
    </xdr:from>
    <xdr:to>
      <xdr:col>11</xdr:col>
      <xdr:colOff>200025</xdr:colOff>
      <xdr:row>1017</xdr:row>
      <xdr:rowOff>133350</xdr:rowOff>
    </xdr:to>
    <xdr:pic>
      <xdr:nvPicPr>
        <xdr:cNvPr id="7" name="Picture 43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64592000"/>
          <a:ext cx="217170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1022</xdr:row>
      <xdr:rowOff>57150</xdr:rowOff>
    </xdr:from>
    <xdr:to>
      <xdr:col>17</xdr:col>
      <xdr:colOff>228600</xdr:colOff>
      <xdr:row>1024</xdr:row>
      <xdr:rowOff>142875</xdr:rowOff>
    </xdr:to>
    <xdr:pic>
      <xdr:nvPicPr>
        <xdr:cNvPr id="8" name="Picture 4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165554025"/>
          <a:ext cx="2981325" cy="409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11</xdr:col>
      <xdr:colOff>200025</xdr:colOff>
      <xdr:row>1010</xdr:row>
      <xdr:rowOff>76200</xdr:rowOff>
    </xdr:to>
    <xdr:pic>
      <xdr:nvPicPr>
        <xdr:cNvPr id="9" name="Picture 4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3229925"/>
          <a:ext cx="364807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1010</xdr:row>
      <xdr:rowOff>85725</xdr:rowOff>
    </xdr:from>
    <xdr:to>
      <xdr:col>12</xdr:col>
      <xdr:colOff>200025</xdr:colOff>
      <xdr:row>1013</xdr:row>
      <xdr:rowOff>0</xdr:rowOff>
    </xdr:to>
    <xdr:pic>
      <xdr:nvPicPr>
        <xdr:cNvPr id="10" name="Picture 4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3639500"/>
          <a:ext cx="4152900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1006</xdr:row>
      <xdr:rowOff>85725</xdr:rowOff>
    </xdr:from>
    <xdr:to>
      <xdr:col>3</xdr:col>
      <xdr:colOff>447675</xdr:colOff>
      <xdr:row>1007</xdr:row>
      <xdr:rowOff>142875</xdr:rowOff>
    </xdr:to>
    <xdr:pic>
      <xdr:nvPicPr>
        <xdr:cNvPr id="11" name="Picture 5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62991800"/>
          <a:ext cx="933450" cy="219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1024</xdr:row>
      <xdr:rowOff>142875</xdr:rowOff>
    </xdr:from>
    <xdr:to>
      <xdr:col>16</xdr:col>
      <xdr:colOff>0</xdr:colOff>
      <xdr:row>1026</xdr:row>
      <xdr:rowOff>123825</xdr:rowOff>
    </xdr:to>
    <xdr:pic>
      <xdr:nvPicPr>
        <xdr:cNvPr id="12" name="Picture 5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165963600"/>
          <a:ext cx="2181225" cy="304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9525</xdr:colOff>
      <xdr:row>1013</xdr:row>
      <xdr:rowOff>28575</xdr:rowOff>
    </xdr:from>
    <xdr:to>
      <xdr:col>21</xdr:col>
      <xdr:colOff>19050</xdr:colOff>
      <xdr:row>1014</xdr:row>
      <xdr:rowOff>95250</xdr:rowOff>
    </xdr:to>
    <xdr:pic>
      <xdr:nvPicPr>
        <xdr:cNvPr id="13" name="Picture 53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164068125"/>
          <a:ext cx="1343025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1005</xdr:row>
      <xdr:rowOff>9525</xdr:rowOff>
    </xdr:from>
    <xdr:to>
      <xdr:col>10</xdr:col>
      <xdr:colOff>333375</xdr:colOff>
      <xdr:row>1006</xdr:row>
      <xdr:rowOff>76200</xdr:rowOff>
    </xdr:to>
    <xdr:pic>
      <xdr:nvPicPr>
        <xdr:cNvPr id="14" name="Picture 55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62753675"/>
          <a:ext cx="4238625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1013</xdr:row>
      <xdr:rowOff>9525</xdr:rowOff>
    </xdr:from>
    <xdr:to>
      <xdr:col>8</xdr:col>
      <xdr:colOff>161925</xdr:colOff>
      <xdr:row>1014</xdr:row>
      <xdr:rowOff>142875</xdr:rowOff>
    </xdr:to>
    <xdr:pic>
      <xdr:nvPicPr>
        <xdr:cNvPr id="15" name="Picture 57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4049075"/>
          <a:ext cx="212407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20</xdr:col>
      <xdr:colOff>9525</xdr:colOff>
      <xdr:row>1018</xdr:row>
      <xdr:rowOff>47625</xdr:rowOff>
    </xdr:from>
    <xdr:to>
      <xdr:col>24</xdr:col>
      <xdr:colOff>904875</xdr:colOff>
      <xdr:row>1019</xdr:row>
      <xdr:rowOff>114300</xdr:rowOff>
    </xdr:to>
    <xdr:pic>
      <xdr:nvPicPr>
        <xdr:cNvPr id="16" name="Picture 59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164896800"/>
          <a:ext cx="249555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1019</xdr:row>
      <xdr:rowOff>123825</xdr:rowOff>
    </xdr:from>
    <xdr:to>
      <xdr:col>20</xdr:col>
      <xdr:colOff>485775</xdr:colOff>
      <xdr:row>1022</xdr:row>
      <xdr:rowOff>47625</xdr:rowOff>
    </xdr:to>
    <xdr:pic>
      <xdr:nvPicPr>
        <xdr:cNvPr id="17" name="Picture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165134925"/>
          <a:ext cx="4371975" cy="409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12</xdr:col>
      <xdr:colOff>0</xdr:colOff>
      <xdr:row>1018</xdr:row>
      <xdr:rowOff>47625</xdr:rowOff>
    </xdr:from>
    <xdr:to>
      <xdr:col>19</xdr:col>
      <xdr:colOff>152400</xdr:colOff>
      <xdr:row>1019</xdr:row>
      <xdr:rowOff>114300</xdr:rowOff>
    </xdr:to>
    <xdr:pic>
      <xdr:nvPicPr>
        <xdr:cNvPr id="18" name="Picture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64896800"/>
          <a:ext cx="262890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9525</xdr:colOff>
      <xdr:row>1007</xdr:row>
      <xdr:rowOff>104775</xdr:rowOff>
    </xdr:from>
    <xdr:to>
      <xdr:col>37</xdr:col>
      <xdr:colOff>238125</xdr:colOff>
      <xdr:row>1010</xdr:row>
      <xdr:rowOff>66675</xdr:rowOff>
    </xdr:to>
    <xdr:pic>
      <xdr:nvPicPr>
        <xdr:cNvPr id="19" name="Picture 69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0325" y="163172775"/>
          <a:ext cx="3276600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9525</xdr:colOff>
      <xdr:row>1010</xdr:row>
      <xdr:rowOff>76200</xdr:rowOff>
    </xdr:from>
    <xdr:to>
      <xdr:col>35</xdr:col>
      <xdr:colOff>600075</xdr:colOff>
      <xdr:row>1013</xdr:row>
      <xdr:rowOff>38100</xdr:rowOff>
    </xdr:to>
    <xdr:pic>
      <xdr:nvPicPr>
        <xdr:cNvPr id="20" name="Picture 70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0325" y="163629975"/>
          <a:ext cx="2114550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1035</xdr:row>
      <xdr:rowOff>19050</xdr:rowOff>
    </xdr:from>
    <xdr:to>
      <xdr:col>11</xdr:col>
      <xdr:colOff>466725</xdr:colOff>
      <xdr:row>1038</xdr:row>
      <xdr:rowOff>19050</xdr:rowOff>
    </xdr:to>
    <xdr:pic>
      <xdr:nvPicPr>
        <xdr:cNvPr id="21" name="Picture 8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7620950"/>
          <a:ext cx="3914775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1040</xdr:row>
      <xdr:rowOff>19050</xdr:rowOff>
    </xdr:from>
    <xdr:to>
      <xdr:col>12</xdr:col>
      <xdr:colOff>28575</xdr:colOff>
      <xdr:row>1043</xdr:row>
      <xdr:rowOff>19050</xdr:rowOff>
    </xdr:to>
    <xdr:pic>
      <xdr:nvPicPr>
        <xdr:cNvPr id="22" name="Picture 86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8430575"/>
          <a:ext cx="3981450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9525</xdr:colOff>
      <xdr:row>1014</xdr:row>
      <xdr:rowOff>104775</xdr:rowOff>
    </xdr:from>
    <xdr:to>
      <xdr:col>20</xdr:col>
      <xdr:colOff>276225</xdr:colOff>
      <xdr:row>1016</xdr:row>
      <xdr:rowOff>9525</xdr:rowOff>
    </xdr:to>
    <xdr:pic>
      <xdr:nvPicPr>
        <xdr:cNvPr id="23" name="Picture 89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164306250"/>
          <a:ext cx="1019175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16</xdr:col>
      <xdr:colOff>209550</xdr:colOff>
      <xdr:row>1007</xdr:row>
      <xdr:rowOff>95250</xdr:rowOff>
    </xdr:from>
    <xdr:to>
      <xdr:col>32</xdr:col>
      <xdr:colOff>142875</xdr:colOff>
      <xdr:row>1010</xdr:row>
      <xdr:rowOff>76200</xdr:rowOff>
    </xdr:to>
    <xdr:pic>
      <xdr:nvPicPr>
        <xdr:cNvPr id="24" name="Picture 90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163163250"/>
          <a:ext cx="6791325" cy="4667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1055</xdr:row>
      <xdr:rowOff>28575</xdr:rowOff>
    </xdr:from>
    <xdr:to>
      <xdr:col>12</xdr:col>
      <xdr:colOff>276225</xdr:colOff>
      <xdr:row>1058</xdr:row>
      <xdr:rowOff>47625</xdr:rowOff>
    </xdr:to>
    <xdr:pic>
      <xdr:nvPicPr>
        <xdr:cNvPr id="25" name="Picture 95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0868975"/>
          <a:ext cx="4229100" cy="5048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1060</xdr:row>
      <xdr:rowOff>28575</xdr:rowOff>
    </xdr:from>
    <xdr:to>
      <xdr:col>15</xdr:col>
      <xdr:colOff>47625</xdr:colOff>
      <xdr:row>1063</xdr:row>
      <xdr:rowOff>47625</xdr:rowOff>
    </xdr:to>
    <xdr:pic>
      <xdr:nvPicPr>
        <xdr:cNvPr id="26" name="Picture 96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1678600"/>
          <a:ext cx="4905375" cy="5048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1065</xdr:row>
      <xdr:rowOff>28575</xdr:rowOff>
    </xdr:from>
    <xdr:to>
      <xdr:col>16</xdr:col>
      <xdr:colOff>561975</xdr:colOff>
      <xdr:row>1068</xdr:row>
      <xdr:rowOff>47625</xdr:rowOff>
    </xdr:to>
    <xdr:pic>
      <xdr:nvPicPr>
        <xdr:cNvPr id="27" name="Picture 97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2488225"/>
          <a:ext cx="5686425" cy="5048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1045</xdr:row>
      <xdr:rowOff>28575</xdr:rowOff>
    </xdr:from>
    <xdr:to>
      <xdr:col>16</xdr:col>
      <xdr:colOff>85725</xdr:colOff>
      <xdr:row>1048</xdr:row>
      <xdr:rowOff>28575</xdr:rowOff>
    </xdr:to>
    <xdr:pic>
      <xdr:nvPicPr>
        <xdr:cNvPr id="28" name="Picture 10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69249725"/>
          <a:ext cx="5210175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1050</xdr:row>
      <xdr:rowOff>28575</xdr:rowOff>
    </xdr:from>
    <xdr:to>
      <xdr:col>16</xdr:col>
      <xdr:colOff>323850</xdr:colOff>
      <xdr:row>1053</xdr:row>
      <xdr:rowOff>47625</xdr:rowOff>
    </xdr:to>
    <xdr:pic>
      <xdr:nvPicPr>
        <xdr:cNvPr id="29" name="Picture 10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0059350"/>
          <a:ext cx="5448300" cy="5048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1070</xdr:row>
      <xdr:rowOff>28575</xdr:rowOff>
    </xdr:from>
    <xdr:to>
      <xdr:col>12</xdr:col>
      <xdr:colOff>342900</xdr:colOff>
      <xdr:row>1073</xdr:row>
      <xdr:rowOff>47625</xdr:rowOff>
    </xdr:to>
    <xdr:pic>
      <xdr:nvPicPr>
        <xdr:cNvPr id="30" name="Picture 106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3297850"/>
          <a:ext cx="4295775" cy="5048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19</xdr:col>
      <xdr:colOff>0</xdr:colOff>
      <xdr:row>1053</xdr:row>
      <xdr:rowOff>28575</xdr:rowOff>
    </xdr:from>
    <xdr:to>
      <xdr:col>32</xdr:col>
      <xdr:colOff>352425</xdr:colOff>
      <xdr:row>1056</xdr:row>
      <xdr:rowOff>28575</xdr:rowOff>
    </xdr:to>
    <xdr:pic>
      <xdr:nvPicPr>
        <xdr:cNvPr id="31" name="Picture 11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70545125"/>
          <a:ext cx="5905500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21</xdr:col>
      <xdr:colOff>19050</xdr:colOff>
      <xdr:row>1022</xdr:row>
      <xdr:rowOff>47625</xdr:rowOff>
    </xdr:from>
    <xdr:to>
      <xdr:col>32</xdr:col>
      <xdr:colOff>219075</xdr:colOff>
      <xdr:row>1024</xdr:row>
      <xdr:rowOff>114300</xdr:rowOff>
    </xdr:to>
    <xdr:pic>
      <xdr:nvPicPr>
        <xdr:cNvPr id="32" name="Picture 120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165544500"/>
          <a:ext cx="4772025" cy="390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0</xdr:colOff>
      <xdr:row>1017</xdr:row>
      <xdr:rowOff>19050</xdr:rowOff>
    </xdr:from>
    <xdr:to>
      <xdr:col>36</xdr:col>
      <xdr:colOff>142875</xdr:colOff>
      <xdr:row>1020</xdr:row>
      <xdr:rowOff>19050</xdr:rowOff>
    </xdr:to>
    <xdr:pic>
      <xdr:nvPicPr>
        <xdr:cNvPr id="33" name="Picture 14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64706300"/>
          <a:ext cx="2428875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0</xdr:colOff>
      <xdr:row>1014</xdr:row>
      <xdr:rowOff>0</xdr:rowOff>
    </xdr:from>
    <xdr:to>
      <xdr:col>36</xdr:col>
      <xdr:colOff>581025</xdr:colOff>
      <xdr:row>1017</xdr:row>
      <xdr:rowOff>0</xdr:rowOff>
    </xdr:to>
    <xdr:pic>
      <xdr:nvPicPr>
        <xdr:cNvPr id="34" name="Picture 150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64201475"/>
          <a:ext cx="2867025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0</xdr:colOff>
      <xdr:row>1020</xdr:row>
      <xdr:rowOff>38100</xdr:rowOff>
    </xdr:from>
    <xdr:to>
      <xdr:col>35</xdr:col>
      <xdr:colOff>114300</xdr:colOff>
      <xdr:row>1023</xdr:row>
      <xdr:rowOff>38100</xdr:rowOff>
    </xdr:to>
    <xdr:pic>
      <xdr:nvPicPr>
        <xdr:cNvPr id="35" name="Picture 151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65211125"/>
          <a:ext cx="1638300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0</xdr:colOff>
      <xdr:row>1023</xdr:row>
      <xdr:rowOff>57150</xdr:rowOff>
    </xdr:from>
    <xdr:to>
      <xdr:col>36</xdr:col>
      <xdr:colOff>47625</xdr:colOff>
      <xdr:row>1026</xdr:row>
      <xdr:rowOff>57150</xdr:rowOff>
    </xdr:to>
    <xdr:pic>
      <xdr:nvPicPr>
        <xdr:cNvPr id="36" name="Picture 153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65715950"/>
          <a:ext cx="2333625" cy="4857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19</xdr:col>
      <xdr:colOff>0</xdr:colOff>
      <xdr:row>1048</xdr:row>
      <xdr:rowOff>28575</xdr:rowOff>
    </xdr:from>
    <xdr:to>
      <xdr:col>34</xdr:col>
      <xdr:colOff>295275</xdr:colOff>
      <xdr:row>1051</xdr:row>
      <xdr:rowOff>76200</xdr:rowOff>
    </xdr:to>
    <xdr:pic>
      <xdr:nvPicPr>
        <xdr:cNvPr id="37" name="Picture 209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69735500"/>
          <a:ext cx="737235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984250</xdr:colOff>
      <xdr:row>4</xdr:row>
      <xdr:rowOff>152400</xdr:rowOff>
    </xdr:to>
    <xdr:pic>
      <xdr:nvPicPr>
        <xdr:cNvPr id="2604352" name="Picture 8" descr="logoplasci">
          <a:extLst>
            <a:ext uri="{FF2B5EF4-FFF2-40B4-BE49-F238E27FC236}">
              <a16:creationId xmlns:a16="http://schemas.microsoft.com/office/drawing/2014/main" id="{00000000-0008-0000-0500-000040BD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65100"/>
          <a:ext cx="984250" cy="63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450850</xdr:colOff>
      <xdr:row>0</xdr:row>
      <xdr:rowOff>120650</xdr:rowOff>
    </xdr:from>
    <xdr:to>
      <xdr:col>12</xdr:col>
      <xdr:colOff>450850</xdr:colOff>
      <xdr:row>17</xdr:row>
      <xdr:rowOff>25400</xdr:rowOff>
    </xdr:to>
    <xdr:graphicFrame macro="">
      <xdr:nvGraphicFramePr>
        <xdr:cNvPr id="2604353" name="Graphique 2">
          <a:extLst>
            <a:ext uri="{FF2B5EF4-FFF2-40B4-BE49-F238E27FC236}">
              <a16:creationId xmlns:a16="http://schemas.microsoft.com/office/drawing/2014/main" id="{00000000-0008-0000-0500-000041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450850</xdr:colOff>
      <xdr:row>17</xdr:row>
      <xdr:rowOff>25400</xdr:rowOff>
    </xdr:from>
    <xdr:to>
      <xdr:col>12</xdr:col>
      <xdr:colOff>450850</xdr:colOff>
      <xdr:row>34</xdr:row>
      <xdr:rowOff>19050</xdr:rowOff>
    </xdr:to>
    <xdr:graphicFrame macro="">
      <xdr:nvGraphicFramePr>
        <xdr:cNvPr id="2604354" name="Graphique 2">
          <a:extLst>
            <a:ext uri="{FF2B5EF4-FFF2-40B4-BE49-F238E27FC236}">
              <a16:creationId xmlns:a16="http://schemas.microsoft.com/office/drawing/2014/main" id="{00000000-0008-0000-0500-000042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17</xdr:row>
      <xdr:rowOff>25400</xdr:rowOff>
    </xdr:from>
    <xdr:to>
      <xdr:col>6</xdr:col>
      <xdr:colOff>450850</xdr:colOff>
      <xdr:row>34</xdr:row>
      <xdr:rowOff>19050</xdr:rowOff>
    </xdr:to>
    <xdr:graphicFrame macro="">
      <xdr:nvGraphicFramePr>
        <xdr:cNvPr id="2604355" name="Graphique 2">
          <a:extLst>
            <a:ext uri="{FF2B5EF4-FFF2-40B4-BE49-F238E27FC236}">
              <a16:creationId xmlns:a16="http://schemas.microsoft.com/office/drawing/2014/main" id="{00000000-0008-0000-0500-000043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638175</xdr:colOff>
          <xdr:row>9</xdr:row>
          <xdr:rowOff>9525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2604063" name="Spinner 31" hidden="1">
              <a:extLst>
                <a:ext uri="{63B3BB69-23CF-44E3-9099-C40C66FF867C}">
                  <a14:compatExt spid="_x0000_s2604063"/>
                </a:ext>
                <a:ext uri="{FF2B5EF4-FFF2-40B4-BE49-F238E27FC236}">
                  <a16:creationId xmlns:a16="http://schemas.microsoft.com/office/drawing/2014/main" id="{00000000-0008-0000-0500-00001F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xdr:twoCellAnchor editAs="oneCell">
    <xdr:from>
      <xdr:col>8</xdr:col>
      <xdr:colOff>323850</xdr:colOff>
      <xdr:row>68</xdr:row>
      <xdr:rowOff>19050</xdr:rowOff>
    </xdr:from>
    <xdr:to>
      <xdr:col>12</xdr:col>
      <xdr:colOff>752475</xdr:colOff>
      <xdr:row>85</xdr:row>
      <xdr:rowOff>9525</xdr:rowOff>
    </xdr:to>
    <xdr:sp macro="" textlink="">
      <xdr:nvSpPr>
        <xdr:cNvPr id="2604101" name="Object 69" hidden="1">
          <a:extLst>
            <a:ext uri="{63B3BB69-23CF-44E3-9099-C40C66FF867C}">
              <a14:compatExt xmlns:a14="http://schemas.microsoft.com/office/drawing/2010/main" spid="_x0000_s2604101"/>
            </a:ext>
            <a:ext uri="{FF2B5EF4-FFF2-40B4-BE49-F238E27FC236}">
              <a16:creationId xmlns:a16="http://schemas.microsoft.com/office/drawing/2014/main" id="{00000000-0008-0000-0500-000045BC27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638175</xdr:colOff>
          <xdr:row>10</xdr:row>
          <xdr:rowOff>9525</xdr:rowOff>
        </xdr:from>
        <xdr:to>
          <xdr:col>4</xdr:col>
          <xdr:colOff>0</xdr:colOff>
          <xdr:row>11</xdr:row>
          <xdr:rowOff>0</xdr:rowOff>
        </xdr:to>
        <xdr:sp macro="" textlink="">
          <xdr:nvSpPr>
            <xdr:cNvPr id="2604202" name="Spinner 170" hidden="1">
              <a:extLst>
                <a:ext uri="{63B3BB69-23CF-44E3-9099-C40C66FF867C}">
                  <a14:compatExt spid="_x0000_s2604202"/>
                </a:ext>
                <a:ext uri="{FF2B5EF4-FFF2-40B4-BE49-F238E27FC236}">
                  <a16:creationId xmlns:a16="http://schemas.microsoft.com/office/drawing/2014/main" id="{00000000-0008-0000-0500-0000AA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xdr:twoCellAnchor editAs="oneCell">
    <xdr:from>
      <xdr:col>8</xdr:col>
      <xdr:colOff>323850</xdr:colOff>
      <xdr:row>68</xdr:row>
      <xdr:rowOff>19050</xdr:rowOff>
    </xdr:from>
    <xdr:to>
      <xdr:col>12</xdr:col>
      <xdr:colOff>752475</xdr:colOff>
      <xdr:row>85</xdr:row>
      <xdr:rowOff>9525</xdr:rowOff>
    </xdr:to>
    <xdr:pic>
      <xdr:nvPicPr>
        <xdr:cNvPr id="2" name="Picture 6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1115675"/>
          <a:ext cx="3476625" cy="2743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33</xdr:row>
      <xdr:rowOff>25400</xdr:rowOff>
    </xdr:from>
    <xdr:to>
      <xdr:col>2</xdr:col>
      <xdr:colOff>12700</xdr:colOff>
      <xdr:row>44</xdr:row>
      <xdr:rowOff>19050</xdr:rowOff>
    </xdr:to>
    <xdr:pic>
      <xdr:nvPicPr>
        <xdr:cNvPr id="5938" name="Image 1">
          <a:extLst>
            <a:ext uri="{FF2B5EF4-FFF2-40B4-BE49-F238E27FC236}">
              <a16:creationId xmlns:a16="http://schemas.microsoft.com/office/drawing/2014/main" id="{00000000-0008-0000-0600-000032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850" y="5295900"/>
          <a:ext cx="1231900" cy="1739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1123950</xdr:colOff>
      <xdr:row>53</xdr:row>
      <xdr:rowOff>44450</xdr:rowOff>
    </xdr:from>
    <xdr:to>
      <xdr:col>10</xdr:col>
      <xdr:colOff>609600</xdr:colOff>
      <xdr:row>81</xdr:row>
      <xdr:rowOff>25400</xdr:rowOff>
    </xdr:to>
    <xdr:pic>
      <xdr:nvPicPr>
        <xdr:cNvPr id="5939" name="Image 2">
          <a:extLst>
            <a:ext uri="{FF2B5EF4-FFF2-40B4-BE49-F238E27FC236}">
              <a16:creationId xmlns:a16="http://schemas.microsoft.com/office/drawing/2014/main" id="{00000000-0008-0000-0600-000033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6350" y="8331200"/>
          <a:ext cx="7099300" cy="442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984250</xdr:colOff>
      <xdr:row>4</xdr:row>
      <xdr:rowOff>152400</xdr:rowOff>
    </xdr:to>
    <xdr:pic>
      <xdr:nvPicPr>
        <xdr:cNvPr id="5940" name="Picture 8" descr="logoplasci">
          <a:extLst>
            <a:ext uri="{FF2B5EF4-FFF2-40B4-BE49-F238E27FC236}">
              <a16:creationId xmlns:a16="http://schemas.microsoft.com/office/drawing/2014/main" id="{00000000-0008-0000-0600-000034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" y="158750"/>
          <a:ext cx="9842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80</xdr:row>
      <xdr:rowOff>12700</xdr:rowOff>
    </xdr:from>
    <xdr:to>
      <xdr:col>8</xdr:col>
      <xdr:colOff>0</xdr:colOff>
      <xdr:row>102</xdr:row>
      <xdr:rowOff>107950</xdr:rowOff>
    </xdr:to>
    <xdr:grpSp>
      <xdr:nvGrpSpPr>
        <xdr:cNvPr id="5501606" name="Group 232">
          <a:extLst>
            <a:ext uri="{FF2B5EF4-FFF2-40B4-BE49-F238E27FC236}">
              <a16:creationId xmlns:a16="http://schemas.microsoft.com/office/drawing/2014/main" id="{00000000-0008-0000-0700-0000A6F25300}"/>
            </a:ext>
          </a:extLst>
        </xdr:cNvPr>
        <xdr:cNvGrpSpPr>
          <a:grpSpLocks/>
        </xdr:cNvGrpSpPr>
      </xdr:nvGrpSpPr>
      <xdr:grpSpPr bwMode="auto">
        <a:xfrm>
          <a:off x="4108450" y="13214350"/>
          <a:ext cx="2139950" cy="3752850"/>
          <a:chOff x="3421" y="5379"/>
          <a:chExt cx="2289" cy="5759"/>
        </a:xfrm>
      </xdr:grpSpPr>
      <xdr:grpSp>
        <xdr:nvGrpSpPr>
          <xdr:cNvPr id="5501710" name="Group 233">
            <a:extLst>
              <a:ext uri="{FF2B5EF4-FFF2-40B4-BE49-F238E27FC236}">
                <a16:creationId xmlns:a16="http://schemas.microsoft.com/office/drawing/2014/main" id="{00000000-0008-0000-0700-00000EF353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501728" name="Arc 234">
              <a:extLst>
                <a:ext uri="{FF2B5EF4-FFF2-40B4-BE49-F238E27FC236}">
                  <a16:creationId xmlns:a16="http://schemas.microsoft.com/office/drawing/2014/main" id="{00000000-0008-0000-0700-000020F353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</xdr:spPr>
        </xdr:sp>
        <xdr:grpSp>
          <xdr:nvGrpSpPr>
            <xdr:cNvPr id="5501729" name="Group 235">
              <a:extLst>
                <a:ext uri="{FF2B5EF4-FFF2-40B4-BE49-F238E27FC236}">
                  <a16:creationId xmlns:a16="http://schemas.microsoft.com/office/drawing/2014/main" id="{00000000-0008-0000-0700-000021F353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501730" name="Line 236">
                <a:extLst>
                  <a:ext uri="{FF2B5EF4-FFF2-40B4-BE49-F238E27FC236}">
                    <a16:creationId xmlns:a16="http://schemas.microsoft.com/office/drawing/2014/main" id="{00000000-0008-0000-0700-000022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31" name="Line 237">
                <a:extLst>
                  <a:ext uri="{FF2B5EF4-FFF2-40B4-BE49-F238E27FC236}">
                    <a16:creationId xmlns:a16="http://schemas.microsoft.com/office/drawing/2014/main" id="{00000000-0008-0000-0700-000023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32" name="Line 238">
                <a:extLst>
                  <a:ext uri="{FF2B5EF4-FFF2-40B4-BE49-F238E27FC236}">
                    <a16:creationId xmlns:a16="http://schemas.microsoft.com/office/drawing/2014/main" id="{00000000-0008-0000-0700-000024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33" name="Line 239">
                <a:extLst>
                  <a:ext uri="{FF2B5EF4-FFF2-40B4-BE49-F238E27FC236}">
                    <a16:creationId xmlns:a16="http://schemas.microsoft.com/office/drawing/2014/main" id="{00000000-0008-0000-0700-000025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34" name="Line 240">
                <a:extLst>
                  <a:ext uri="{FF2B5EF4-FFF2-40B4-BE49-F238E27FC236}">
                    <a16:creationId xmlns:a16="http://schemas.microsoft.com/office/drawing/2014/main" id="{00000000-0008-0000-0700-000026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5501711" name="Group 241">
            <a:extLst>
              <a:ext uri="{FF2B5EF4-FFF2-40B4-BE49-F238E27FC236}">
                <a16:creationId xmlns:a16="http://schemas.microsoft.com/office/drawing/2014/main" id="{00000000-0008-0000-0700-00000FF353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501721" name="Arc 242">
              <a:extLst>
                <a:ext uri="{FF2B5EF4-FFF2-40B4-BE49-F238E27FC236}">
                  <a16:creationId xmlns:a16="http://schemas.microsoft.com/office/drawing/2014/main" id="{00000000-0008-0000-0700-000019F353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</xdr:spPr>
        </xdr:sp>
        <xdr:grpSp>
          <xdr:nvGrpSpPr>
            <xdr:cNvPr id="5501722" name="Group 243">
              <a:extLst>
                <a:ext uri="{FF2B5EF4-FFF2-40B4-BE49-F238E27FC236}">
                  <a16:creationId xmlns:a16="http://schemas.microsoft.com/office/drawing/2014/main" id="{00000000-0008-0000-0700-00001AF353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501723" name="Line 244">
                <a:extLst>
                  <a:ext uri="{FF2B5EF4-FFF2-40B4-BE49-F238E27FC236}">
                    <a16:creationId xmlns:a16="http://schemas.microsoft.com/office/drawing/2014/main" id="{00000000-0008-0000-0700-00001B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24" name="Line 245">
                <a:extLst>
                  <a:ext uri="{FF2B5EF4-FFF2-40B4-BE49-F238E27FC236}">
                    <a16:creationId xmlns:a16="http://schemas.microsoft.com/office/drawing/2014/main" id="{00000000-0008-0000-0700-00001C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25" name="Line 246">
                <a:extLst>
                  <a:ext uri="{FF2B5EF4-FFF2-40B4-BE49-F238E27FC236}">
                    <a16:creationId xmlns:a16="http://schemas.microsoft.com/office/drawing/2014/main" id="{00000000-0008-0000-0700-00001D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26" name="Line 247">
                <a:extLst>
                  <a:ext uri="{FF2B5EF4-FFF2-40B4-BE49-F238E27FC236}">
                    <a16:creationId xmlns:a16="http://schemas.microsoft.com/office/drawing/2014/main" id="{00000000-0008-0000-0700-00001E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27" name="Line 248">
                <a:extLst>
                  <a:ext uri="{FF2B5EF4-FFF2-40B4-BE49-F238E27FC236}">
                    <a16:creationId xmlns:a16="http://schemas.microsoft.com/office/drawing/2014/main" id="{00000000-0008-0000-0700-00001F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5501712" name="Line 249">
            <a:extLst>
              <a:ext uri="{FF2B5EF4-FFF2-40B4-BE49-F238E27FC236}">
                <a16:creationId xmlns:a16="http://schemas.microsoft.com/office/drawing/2014/main" id="{00000000-0008-0000-0700-000010F353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3" name="Line 250">
            <a:extLst>
              <a:ext uri="{FF2B5EF4-FFF2-40B4-BE49-F238E27FC236}">
                <a16:creationId xmlns:a16="http://schemas.microsoft.com/office/drawing/2014/main" id="{00000000-0008-0000-0700-000011F353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4" name="Line 251">
            <a:extLst>
              <a:ext uri="{FF2B5EF4-FFF2-40B4-BE49-F238E27FC236}">
                <a16:creationId xmlns:a16="http://schemas.microsoft.com/office/drawing/2014/main" id="{00000000-0008-0000-0700-000012F353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5" name="Line 252">
            <a:extLst>
              <a:ext uri="{FF2B5EF4-FFF2-40B4-BE49-F238E27FC236}">
                <a16:creationId xmlns:a16="http://schemas.microsoft.com/office/drawing/2014/main" id="{00000000-0008-0000-0700-000013F353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6" name="Line 253">
            <a:extLst>
              <a:ext uri="{FF2B5EF4-FFF2-40B4-BE49-F238E27FC236}">
                <a16:creationId xmlns:a16="http://schemas.microsoft.com/office/drawing/2014/main" id="{00000000-0008-0000-0700-000014F353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7" name="Line 254">
            <a:extLst>
              <a:ext uri="{FF2B5EF4-FFF2-40B4-BE49-F238E27FC236}">
                <a16:creationId xmlns:a16="http://schemas.microsoft.com/office/drawing/2014/main" id="{00000000-0008-0000-0700-000015F353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8" name="Line 255">
            <a:extLst>
              <a:ext uri="{FF2B5EF4-FFF2-40B4-BE49-F238E27FC236}">
                <a16:creationId xmlns:a16="http://schemas.microsoft.com/office/drawing/2014/main" id="{00000000-0008-0000-0700-000016F353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19" name="Line 256">
            <a:extLst>
              <a:ext uri="{FF2B5EF4-FFF2-40B4-BE49-F238E27FC236}">
                <a16:creationId xmlns:a16="http://schemas.microsoft.com/office/drawing/2014/main" id="{00000000-0008-0000-0700-000017F353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720" name="Line 257">
            <a:extLst>
              <a:ext uri="{FF2B5EF4-FFF2-40B4-BE49-F238E27FC236}">
                <a16:creationId xmlns:a16="http://schemas.microsoft.com/office/drawing/2014/main" id="{00000000-0008-0000-0700-000018F353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</xdr:grpSp>
    <xdr:clientData/>
  </xdr:twoCellAnchor>
  <xdr:twoCellAnchor>
    <xdr:from>
      <xdr:col>6</xdr:col>
      <xdr:colOff>825500</xdr:colOff>
      <xdr:row>84</xdr:row>
      <xdr:rowOff>101600</xdr:rowOff>
    </xdr:from>
    <xdr:to>
      <xdr:col>6</xdr:col>
      <xdr:colOff>1543050</xdr:colOff>
      <xdr:row>84</xdr:row>
      <xdr:rowOff>101600</xdr:rowOff>
    </xdr:to>
    <xdr:sp macro="" textlink="">
      <xdr:nvSpPr>
        <xdr:cNvPr id="5501607" name="Line 268">
          <a:extLst>
            <a:ext uri="{FF2B5EF4-FFF2-40B4-BE49-F238E27FC236}">
              <a16:creationId xmlns:a16="http://schemas.microsoft.com/office/drawing/2014/main" id="{00000000-0008-0000-0700-0000A7F25300}"/>
            </a:ext>
          </a:extLst>
        </xdr:cNvPr>
        <xdr:cNvSpPr>
          <a:spLocks noChangeShapeType="1"/>
        </xdr:cNvSpPr>
      </xdr:nvSpPr>
      <xdr:spPr bwMode="auto">
        <a:xfrm flipV="1">
          <a:off x="5105400" y="14128750"/>
          <a:ext cx="71755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6</xdr:col>
      <xdr:colOff>152400</xdr:colOff>
      <xdr:row>80</xdr:row>
      <xdr:rowOff>0</xdr:rowOff>
    </xdr:from>
    <xdr:to>
      <xdr:col>8</xdr:col>
      <xdr:colOff>654050</xdr:colOff>
      <xdr:row>80</xdr:row>
      <xdr:rowOff>0</xdr:rowOff>
    </xdr:to>
    <xdr:sp macro="" textlink="">
      <xdr:nvSpPr>
        <xdr:cNvPr id="5501608" name="Line 269">
          <a:extLst>
            <a:ext uri="{FF2B5EF4-FFF2-40B4-BE49-F238E27FC236}">
              <a16:creationId xmlns:a16="http://schemas.microsoft.com/office/drawing/2014/main" id="{00000000-0008-0000-0700-0000A8F25300}"/>
            </a:ext>
          </a:extLst>
        </xdr:cNvPr>
        <xdr:cNvSpPr>
          <a:spLocks noChangeShapeType="1"/>
        </xdr:cNvSpPr>
      </xdr:nvSpPr>
      <xdr:spPr bwMode="auto">
        <a:xfrm flipV="1">
          <a:off x="4432300" y="13354050"/>
          <a:ext cx="264795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228600</xdr:colOff>
      <xdr:row>80</xdr:row>
      <xdr:rowOff>12700</xdr:rowOff>
    </xdr:from>
    <xdr:to>
      <xdr:col>8</xdr:col>
      <xdr:colOff>228600</xdr:colOff>
      <xdr:row>93</xdr:row>
      <xdr:rowOff>82550</xdr:rowOff>
    </xdr:to>
    <xdr:sp macro="" textlink="">
      <xdr:nvSpPr>
        <xdr:cNvPr id="5501609" name="Line 270">
          <a:extLst>
            <a:ext uri="{FF2B5EF4-FFF2-40B4-BE49-F238E27FC236}">
              <a16:creationId xmlns:a16="http://schemas.microsoft.com/office/drawing/2014/main" id="{00000000-0008-0000-0700-0000A9F25300}"/>
            </a:ext>
          </a:extLst>
        </xdr:cNvPr>
        <xdr:cNvSpPr>
          <a:spLocks noChangeShapeType="1"/>
        </xdr:cNvSpPr>
      </xdr:nvSpPr>
      <xdr:spPr bwMode="auto">
        <a:xfrm>
          <a:off x="6838950" y="13366750"/>
          <a:ext cx="0" cy="22098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6</xdr:col>
      <xdr:colOff>139700</xdr:colOff>
      <xdr:row>83</xdr:row>
      <xdr:rowOff>50800</xdr:rowOff>
    </xdr:from>
    <xdr:to>
      <xdr:col>6</xdr:col>
      <xdr:colOff>838200</xdr:colOff>
      <xdr:row>83</xdr:row>
      <xdr:rowOff>50800</xdr:rowOff>
    </xdr:to>
    <xdr:sp macro="" textlink="">
      <xdr:nvSpPr>
        <xdr:cNvPr id="5501610" name="Line 271">
          <a:extLst>
            <a:ext uri="{FF2B5EF4-FFF2-40B4-BE49-F238E27FC236}">
              <a16:creationId xmlns:a16="http://schemas.microsoft.com/office/drawing/2014/main" id="{00000000-0008-0000-0700-0000AAF25300}"/>
            </a:ext>
          </a:extLst>
        </xdr:cNvPr>
        <xdr:cNvSpPr>
          <a:spLocks noChangeShapeType="1"/>
        </xdr:cNvSpPr>
      </xdr:nvSpPr>
      <xdr:spPr bwMode="auto">
        <a:xfrm>
          <a:off x="4419600" y="13912850"/>
          <a:ext cx="6985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152400</xdr:colOff>
      <xdr:row>80</xdr:row>
      <xdr:rowOff>0</xdr:rowOff>
    </xdr:from>
    <xdr:to>
      <xdr:col>6</xdr:col>
      <xdr:colOff>152400</xdr:colOff>
      <xdr:row>83</xdr:row>
      <xdr:rowOff>50800</xdr:rowOff>
    </xdr:to>
    <xdr:sp macro="" textlink="">
      <xdr:nvSpPr>
        <xdr:cNvPr id="5501611" name="Line 272">
          <a:extLst>
            <a:ext uri="{FF2B5EF4-FFF2-40B4-BE49-F238E27FC236}">
              <a16:creationId xmlns:a16="http://schemas.microsoft.com/office/drawing/2014/main" id="{00000000-0008-0000-0700-0000ABF25300}"/>
            </a:ext>
          </a:extLst>
        </xdr:cNvPr>
        <xdr:cNvSpPr>
          <a:spLocks noChangeShapeType="1"/>
        </xdr:cNvSpPr>
      </xdr:nvSpPr>
      <xdr:spPr bwMode="auto">
        <a:xfrm>
          <a:off x="4432300" y="13354050"/>
          <a:ext cx="0" cy="5588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7</xdr:col>
      <xdr:colOff>787400</xdr:colOff>
      <xdr:row>102</xdr:row>
      <xdr:rowOff>95250</xdr:rowOff>
    </xdr:from>
    <xdr:to>
      <xdr:col>8</xdr:col>
      <xdr:colOff>552450</xdr:colOff>
      <xdr:row>102</xdr:row>
      <xdr:rowOff>95250</xdr:rowOff>
    </xdr:to>
    <xdr:sp macro="" textlink="">
      <xdr:nvSpPr>
        <xdr:cNvPr id="5501612" name="Line 277">
          <a:extLst>
            <a:ext uri="{FF2B5EF4-FFF2-40B4-BE49-F238E27FC236}">
              <a16:creationId xmlns:a16="http://schemas.microsoft.com/office/drawing/2014/main" id="{00000000-0008-0000-0700-0000ACF25300}"/>
            </a:ext>
          </a:extLst>
        </xdr:cNvPr>
        <xdr:cNvSpPr>
          <a:spLocks noChangeShapeType="1"/>
        </xdr:cNvSpPr>
      </xdr:nvSpPr>
      <xdr:spPr bwMode="auto">
        <a:xfrm>
          <a:off x="6610350" y="17068800"/>
          <a:ext cx="469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12700</xdr:colOff>
      <xdr:row>98</xdr:row>
      <xdr:rowOff>133350</xdr:rowOff>
    </xdr:from>
    <xdr:to>
      <xdr:col>8</xdr:col>
      <xdr:colOff>469900</xdr:colOff>
      <xdr:row>98</xdr:row>
      <xdr:rowOff>133350</xdr:rowOff>
    </xdr:to>
    <xdr:sp macro="" textlink="">
      <xdr:nvSpPr>
        <xdr:cNvPr id="5501613" name="Line 278">
          <a:extLst>
            <a:ext uri="{FF2B5EF4-FFF2-40B4-BE49-F238E27FC236}">
              <a16:creationId xmlns:a16="http://schemas.microsoft.com/office/drawing/2014/main" id="{00000000-0008-0000-0700-0000ADF25300}"/>
            </a:ext>
          </a:extLst>
        </xdr:cNvPr>
        <xdr:cNvSpPr>
          <a:spLocks noChangeShapeType="1"/>
        </xdr:cNvSpPr>
      </xdr:nvSpPr>
      <xdr:spPr bwMode="auto">
        <a:xfrm>
          <a:off x="6623050" y="16440150"/>
          <a:ext cx="45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476250</xdr:colOff>
      <xdr:row>93</xdr:row>
      <xdr:rowOff>76200</xdr:rowOff>
    </xdr:from>
    <xdr:to>
      <xdr:col>8</xdr:col>
      <xdr:colOff>552450</xdr:colOff>
      <xdr:row>93</xdr:row>
      <xdr:rowOff>76200</xdr:rowOff>
    </xdr:to>
    <xdr:sp macro="" textlink="">
      <xdr:nvSpPr>
        <xdr:cNvPr id="5501614" name="Line 279">
          <a:extLst>
            <a:ext uri="{FF2B5EF4-FFF2-40B4-BE49-F238E27FC236}">
              <a16:creationId xmlns:a16="http://schemas.microsoft.com/office/drawing/2014/main" id="{00000000-0008-0000-0700-0000AEF25300}"/>
            </a:ext>
          </a:extLst>
        </xdr:cNvPr>
        <xdr:cNvSpPr>
          <a:spLocks noChangeShapeType="1"/>
        </xdr:cNvSpPr>
      </xdr:nvSpPr>
      <xdr:spPr bwMode="auto">
        <a:xfrm flipV="1">
          <a:off x="4756150" y="15570200"/>
          <a:ext cx="23241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476250</xdr:colOff>
      <xdr:row>99</xdr:row>
      <xdr:rowOff>152400</xdr:rowOff>
    </xdr:from>
    <xdr:to>
      <xdr:col>6</xdr:col>
      <xdr:colOff>1428750</xdr:colOff>
      <xdr:row>99</xdr:row>
      <xdr:rowOff>152400</xdr:rowOff>
    </xdr:to>
    <xdr:sp macro="" textlink="">
      <xdr:nvSpPr>
        <xdr:cNvPr id="5501615" name="Line 280">
          <a:extLst>
            <a:ext uri="{FF2B5EF4-FFF2-40B4-BE49-F238E27FC236}">
              <a16:creationId xmlns:a16="http://schemas.microsoft.com/office/drawing/2014/main" id="{00000000-0008-0000-0700-0000AFF25300}"/>
            </a:ext>
          </a:extLst>
        </xdr:cNvPr>
        <xdr:cNvSpPr>
          <a:spLocks noChangeShapeType="1"/>
        </xdr:cNvSpPr>
      </xdr:nvSpPr>
      <xdr:spPr bwMode="auto">
        <a:xfrm flipV="1">
          <a:off x="4756150" y="16617950"/>
          <a:ext cx="9525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476250</xdr:colOff>
      <xdr:row>93</xdr:row>
      <xdr:rowOff>76200</xdr:rowOff>
    </xdr:from>
    <xdr:to>
      <xdr:col>6</xdr:col>
      <xdr:colOff>476250</xdr:colOff>
      <xdr:row>100</xdr:row>
      <xdr:rowOff>0</xdr:rowOff>
    </xdr:to>
    <xdr:sp macro="" textlink="">
      <xdr:nvSpPr>
        <xdr:cNvPr id="5501616" name="Line 281">
          <a:extLst>
            <a:ext uri="{FF2B5EF4-FFF2-40B4-BE49-F238E27FC236}">
              <a16:creationId xmlns:a16="http://schemas.microsoft.com/office/drawing/2014/main" id="{00000000-0008-0000-0700-0000B0F25300}"/>
            </a:ext>
          </a:extLst>
        </xdr:cNvPr>
        <xdr:cNvSpPr>
          <a:spLocks noChangeShapeType="1"/>
        </xdr:cNvSpPr>
      </xdr:nvSpPr>
      <xdr:spPr bwMode="auto">
        <a:xfrm>
          <a:off x="4756150" y="15570200"/>
          <a:ext cx="0" cy="10668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8</xdr:col>
      <xdr:colOff>488950</xdr:colOff>
      <xdr:row>98</xdr:row>
      <xdr:rowOff>133350</xdr:rowOff>
    </xdr:from>
    <xdr:to>
      <xdr:col>8</xdr:col>
      <xdr:colOff>488950</xdr:colOff>
      <xdr:row>102</xdr:row>
      <xdr:rowOff>95250</xdr:rowOff>
    </xdr:to>
    <xdr:sp macro="" textlink="">
      <xdr:nvSpPr>
        <xdr:cNvPr id="5501617" name="Line 282">
          <a:extLst>
            <a:ext uri="{FF2B5EF4-FFF2-40B4-BE49-F238E27FC236}">
              <a16:creationId xmlns:a16="http://schemas.microsoft.com/office/drawing/2014/main" id="{00000000-0008-0000-0700-0000B1F25300}"/>
            </a:ext>
          </a:extLst>
        </xdr:cNvPr>
        <xdr:cNvSpPr>
          <a:spLocks noChangeShapeType="1"/>
        </xdr:cNvSpPr>
      </xdr:nvSpPr>
      <xdr:spPr bwMode="auto">
        <a:xfrm>
          <a:off x="7080250" y="16440150"/>
          <a:ext cx="0" cy="6286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8</xdr:col>
      <xdr:colOff>488950</xdr:colOff>
      <xdr:row>93</xdr:row>
      <xdr:rowOff>63500</xdr:rowOff>
    </xdr:from>
    <xdr:to>
      <xdr:col>8</xdr:col>
      <xdr:colOff>488950</xdr:colOff>
      <xdr:row>98</xdr:row>
      <xdr:rowOff>133350</xdr:rowOff>
    </xdr:to>
    <xdr:sp macro="" textlink="">
      <xdr:nvSpPr>
        <xdr:cNvPr id="5501618" name="Line 283">
          <a:extLst>
            <a:ext uri="{FF2B5EF4-FFF2-40B4-BE49-F238E27FC236}">
              <a16:creationId xmlns:a16="http://schemas.microsoft.com/office/drawing/2014/main" id="{00000000-0008-0000-0700-0000B2F25300}"/>
            </a:ext>
          </a:extLst>
        </xdr:cNvPr>
        <xdr:cNvSpPr>
          <a:spLocks noChangeShapeType="1"/>
        </xdr:cNvSpPr>
      </xdr:nvSpPr>
      <xdr:spPr bwMode="auto">
        <a:xfrm>
          <a:off x="7080250" y="15557500"/>
          <a:ext cx="0" cy="8826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8</xdr:col>
      <xdr:colOff>0</xdr:colOff>
      <xdr:row>102</xdr:row>
      <xdr:rowOff>95250</xdr:rowOff>
    </xdr:from>
    <xdr:to>
      <xdr:col>8</xdr:col>
      <xdr:colOff>0</xdr:colOff>
      <xdr:row>103</xdr:row>
      <xdr:rowOff>0</xdr:rowOff>
    </xdr:to>
    <xdr:sp macro="" textlink="">
      <xdr:nvSpPr>
        <xdr:cNvPr id="5501619" name="Line 284">
          <a:extLst>
            <a:ext uri="{FF2B5EF4-FFF2-40B4-BE49-F238E27FC236}">
              <a16:creationId xmlns:a16="http://schemas.microsoft.com/office/drawing/2014/main" id="{00000000-0008-0000-0700-0000B3F25300}"/>
            </a:ext>
          </a:extLst>
        </xdr:cNvPr>
        <xdr:cNvSpPr>
          <a:spLocks noChangeShapeType="1"/>
        </xdr:cNvSpPr>
      </xdr:nvSpPr>
      <xdr:spPr bwMode="auto">
        <a:xfrm flipV="1">
          <a:off x="6610350" y="17068800"/>
          <a:ext cx="0" cy="6985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1428750</xdr:colOff>
      <xdr:row>99</xdr:row>
      <xdr:rowOff>139700</xdr:rowOff>
    </xdr:from>
    <xdr:to>
      <xdr:col>6</xdr:col>
      <xdr:colOff>1428750</xdr:colOff>
      <xdr:row>103</xdr:row>
      <xdr:rowOff>0</xdr:rowOff>
    </xdr:to>
    <xdr:sp macro="" textlink="">
      <xdr:nvSpPr>
        <xdr:cNvPr id="5501620" name="Line 285">
          <a:extLst>
            <a:ext uri="{FF2B5EF4-FFF2-40B4-BE49-F238E27FC236}">
              <a16:creationId xmlns:a16="http://schemas.microsoft.com/office/drawing/2014/main" id="{00000000-0008-0000-0700-0000B4F25300}"/>
            </a:ext>
          </a:extLst>
        </xdr:cNvPr>
        <xdr:cNvSpPr>
          <a:spLocks noChangeShapeType="1"/>
        </xdr:cNvSpPr>
      </xdr:nvSpPr>
      <xdr:spPr bwMode="auto">
        <a:xfrm flipH="1" flipV="1">
          <a:off x="5708650" y="16605250"/>
          <a:ext cx="0" cy="5334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1422400</xdr:colOff>
      <xdr:row>103</xdr:row>
      <xdr:rowOff>0</xdr:rowOff>
    </xdr:from>
    <xdr:to>
      <xdr:col>8</xdr:col>
      <xdr:colOff>0</xdr:colOff>
      <xdr:row>103</xdr:row>
      <xdr:rowOff>0</xdr:rowOff>
    </xdr:to>
    <xdr:sp macro="" textlink="">
      <xdr:nvSpPr>
        <xdr:cNvPr id="5501621" name="Line 286">
          <a:extLst>
            <a:ext uri="{FF2B5EF4-FFF2-40B4-BE49-F238E27FC236}">
              <a16:creationId xmlns:a16="http://schemas.microsoft.com/office/drawing/2014/main" id="{00000000-0008-0000-0700-0000B5F25300}"/>
            </a:ext>
          </a:extLst>
        </xdr:cNvPr>
        <xdr:cNvSpPr>
          <a:spLocks noChangeShapeType="1"/>
        </xdr:cNvSpPr>
      </xdr:nvSpPr>
      <xdr:spPr bwMode="auto">
        <a:xfrm>
          <a:off x="5702300" y="17138650"/>
          <a:ext cx="90805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6</xdr:col>
      <xdr:colOff>685800</xdr:colOff>
      <xdr:row>89</xdr:row>
      <xdr:rowOff>69850</xdr:rowOff>
    </xdr:from>
    <xdr:to>
      <xdr:col>6</xdr:col>
      <xdr:colOff>1695450</xdr:colOff>
      <xdr:row>89</xdr:row>
      <xdr:rowOff>69850</xdr:rowOff>
    </xdr:to>
    <xdr:sp macro="" textlink="">
      <xdr:nvSpPr>
        <xdr:cNvPr id="5501622" name="Line 287">
          <a:extLst>
            <a:ext uri="{FF2B5EF4-FFF2-40B4-BE49-F238E27FC236}">
              <a16:creationId xmlns:a16="http://schemas.microsoft.com/office/drawing/2014/main" id="{00000000-0008-0000-0700-0000B6F25300}"/>
            </a:ext>
          </a:extLst>
        </xdr:cNvPr>
        <xdr:cNvSpPr>
          <a:spLocks noChangeShapeType="1"/>
        </xdr:cNvSpPr>
      </xdr:nvSpPr>
      <xdr:spPr bwMode="auto">
        <a:xfrm>
          <a:off x="4965700" y="14916150"/>
          <a:ext cx="100965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6</xdr:col>
      <xdr:colOff>990600</xdr:colOff>
      <xdr:row>93</xdr:row>
      <xdr:rowOff>25400</xdr:rowOff>
    </xdr:from>
    <xdr:to>
      <xdr:col>6</xdr:col>
      <xdr:colOff>1397000</xdr:colOff>
      <xdr:row>93</xdr:row>
      <xdr:rowOff>25400</xdr:rowOff>
    </xdr:to>
    <xdr:sp macro="" textlink="">
      <xdr:nvSpPr>
        <xdr:cNvPr id="5501623" name="Line 288">
          <a:extLst>
            <a:ext uri="{FF2B5EF4-FFF2-40B4-BE49-F238E27FC236}">
              <a16:creationId xmlns:a16="http://schemas.microsoft.com/office/drawing/2014/main" id="{00000000-0008-0000-0700-0000B7F25300}"/>
            </a:ext>
          </a:extLst>
        </xdr:cNvPr>
        <xdr:cNvSpPr>
          <a:spLocks noChangeShapeType="1"/>
        </xdr:cNvSpPr>
      </xdr:nvSpPr>
      <xdr:spPr bwMode="auto">
        <a:xfrm>
          <a:off x="5270500" y="15519400"/>
          <a:ext cx="4064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6</xdr:col>
      <xdr:colOff>850900</xdr:colOff>
      <xdr:row>87</xdr:row>
      <xdr:rowOff>57150</xdr:rowOff>
    </xdr:from>
    <xdr:to>
      <xdr:col>8</xdr:col>
      <xdr:colOff>44450</xdr:colOff>
      <xdr:row>87</xdr:row>
      <xdr:rowOff>57150</xdr:rowOff>
    </xdr:to>
    <xdr:sp macro="" textlink="">
      <xdr:nvSpPr>
        <xdr:cNvPr id="5501624" name="Line 289">
          <a:extLst>
            <a:ext uri="{FF2B5EF4-FFF2-40B4-BE49-F238E27FC236}">
              <a16:creationId xmlns:a16="http://schemas.microsoft.com/office/drawing/2014/main" id="{00000000-0008-0000-0700-0000B8F25300}"/>
            </a:ext>
          </a:extLst>
        </xdr:cNvPr>
        <xdr:cNvSpPr>
          <a:spLocks noChangeShapeType="1"/>
        </xdr:cNvSpPr>
      </xdr:nvSpPr>
      <xdr:spPr bwMode="auto">
        <a:xfrm>
          <a:off x="5130800" y="14579600"/>
          <a:ext cx="15240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698500</xdr:colOff>
      <xdr:row>88</xdr:row>
      <xdr:rowOff>57150</xdr:rowOff>
    </xdr:from>
    <xdr:to>
      <xdr:col>8</xdr:col>
      <xdr:colOff>57150</xdr:colOff>
      <xdr:row>88</xdr:row>
      <xdr:rowOff>57150</xdr:rowOff>
    </xdr:to>
    <xdr:sp macro="" textlink="">
      <xdr:nvSpPr>
        <xdr:cNvPr id="5501625" name="Line 290">
          <a:extLst>
            <a:ext uri="{FF2B5EF4-FFF2-40B4-BE49-F238E27FC236}">
              <a16:creationId xmlns:a16="http://schemas.microsoft.com/office/drawing/2014/main" id="{00000000-0008-0000-0700-0000B9F25300}"/>
            </a:ext>
          </a:extLst>
        </xdr:cNvPr>
        <xdr:cNvSpPr>
          <a:spLocks noChangeShapeType="1"/>
        </xdr:cNvSpPr>
      </xdr:nvSpPr>
      <xdr:spPr bwMode="auto">
        <a:xfrm>
          <a:off x="4978400" y="14738350"/>
          <a:ext cx="16891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698500</xdr:colOff>
      <xdr:row>90</xdr:row>
      <xdr:rowOff>139700</xdr:rowOff>
    </xdr:from>
    <xdr:to>
      <xdr:col>8</xdr:col>
      <xdr:colOff>69850</xdr:colOff>
      <xdr:row>90</xdr:row>
      <xdr:rowOff>139700</xdr:rowOff>
    </xdr:to>
    <xdr:sp macro="" textlink="">
      <xdr:nvSpPr>
        <xdr:cNvPr id="5501626" name="Line 291">
          <a:extLst>
            <a:ext uri="{FF2B5EF4-FFF2-40B4-BE49-F238E27FC236}">
              <a16:creationId xmlns:a16="http://schemas.microsoft.com/office/drawing/2014/main" id="{00000000-0008-0000-0700-0000BAF25300}"/>
            </a:ext>
          </a:extLst>
        </xdr:cNvPr>
        <xdr:cNvSpPr>
          <a:spLocks noChangeShapeType="1"/>
        </xdr:cNvSpPr>
      </xdr:nvSpPr>
      <xdr:spPr bwMode="auto">
        <a:xfrm>
          <a:off x="4978400" y="15157450"/>
          <a:ext cx="17018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977900</xdr:colOff>
      <xdr:row>92</xdr:row>
      <xdr:rowOff>44450</xdr:rowOff>
    </xdr:from>
    <xdr:to>
      <xdr:col>8</xdr:col>
      <xdr:colOff>44450</xdr:colOff>
      <xdr:row>92</xdr:row>
      <xdr:rowOff>44450</xdr:rowOff>
    </xdr:to>
    <xdr:sp macro="" textlink="">
      <xdr:nvSpPr>
        <xdr:cNvPr id="5501627" name="Line 292">
          <a:extLst>
            <a:ext uri="{FF2B5EF4-FFF2-40B4-BE49-F238E27FC236}">
              <a16:creationId xmlns:a16="http://schemas.microsoft.com/office/drawing/2014/main" id="{00000000-0008-0000-0700-0000BBF25300}"/>
            </a:ext>
          </a:extLst>
        </xdr:cNvPr>
        <xdr:cNvSpPr>
          <a:spLocks noChangeShapeType="1"/>
        </xdr:cNvSpPr>
      </xdr:nvSpPr>
      <xdr:spPr bwMode="auto">
        <a:xfrm>
          <a:off x="5257800" y="15379700"/>
          <a:ext cx="13970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1790700</xdr:colOff>
      <xdr:row>80</xdr:row>
      <xdr:rowOff>0</xdr:rowOff>
    </xdr:from>
    <xdr:to>
      <xdr:col>6</xdr:col>
      <xdr:colOff>1790700</xdr:colOff>
      <xdr:row>87</xdr:row>
      <xdr:rowOff>63500</xdr:rowOff>
    </xdr:to>
    <xdr:sp macro="" textlink="">
      <xdr:nvSpPr>
        <xdr:cNvPr id="5501628" name="Line 293">
          <a:extLst>
            <a:ext uri="{FF2B5EF4-FFF2-40B4-BE49-F238E27FC236}">
              <a16:creationId xmlns:a16="http://schemas.microsoft.com/office/drawing/2014/main" id="{00000000-0008-0000-0700-0000BCF25300}"/>
            </a:ext>
          </a:extLst>
        </xdr:cNvPr>
        <xdr:cNvSpPr>
          <a:spLocks noChangeShapeType="1"/>
        </xdr:cNvSpPr>
      </xdr:nvSpPr>
      <xdr:spPr bwMode="auto">
        <a:xfrm>
          <a:off x="6070600" y="13354050"/>
          <a:ext cx="0" cy="12319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7</xdr:col>
      <xdr:colOff>190500</xdr:colOff>
      <xdr:row>80</xdr:row>
      <xdr:rowOff>0</xdr:rowOff>
    </xdr:from>
    <xdr:to>
      <xdr:col>7</xdr:col>
      <xdr:colOff>190500</xdr:colOff>
      <xdr:row>90</xdr:row>
      <xdr:rowOff>133350</xdr:rowOff>
    </xdr:to>
    <xdr:sp macro="" textlink="">
      <xdr:nvSpPr>
        <xdr:cNvPr id="5501629" name="Line 294">
          <a:extLst>
            <a:ext uri="{FF2B5EF4-FFF2-40B4-BE49-F238E27FC236}">
              <a16:creationId xmlns:a16="http://schemas.microsoft.com/office/drawing/2014/main" id="{00000000-0008-0000-0700-0000BDF25300}"/>
            </a:ext>
          </a:extLst>
        </xdr:cNvPr>
        <xdr:cNvSpPr>
          <a:spLocks noChangeShapeType="1"/>
        </xdr:cNvSpPr>
      </xdr:nvSpPr>
      <xdr:spPr bwMode="auto">
        <a:xfrm>
          <a:off x="6330950" y="13354050"/>
          <a:ext cx="0" cy="179705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44450</xdr:colOff>
      <xdr:row>87</xdr:row>
      <xdr:rowOff>57150</xdr:rowOff>
    </xdr:from>
    <xdr:to>
      <xdr:col>8</xdr:col>
      <xdr:colOff>44450</xdr:colOff>
      <xdr:row>88</xdr:row>
      <xdr:rowOff>57150</xdr:rowOff>
    </xdr:to>
    <xdr:sp macro="" textlink="">
      <xdr:nvSpPr>
        <xdr:cNvPr id="5501630" name="Line 295">
          <a:extLst>
            <a:ext uri="{FF2B5EF4-FFF2-40B4-BE49-F238E27FC236}">
              <a16:creationId xmlns:a16="http://schemas.microsoft.com/office/drawing/2014/main" id="{00000000-0008-0000-0700-0000BEF25300}"/>
            </a:ext>
          </a:extLst>
        </xdr:cNvPr>
        <xdr:cNvSpPr>
          <a:spLocks noChangeShapeType="1"/>
        </xdr:cNvSpPr>
      </xdr:nvSpPr>
      <xdr:spPr bwMode="auto">
        <a:xfrm>
          <a:off x="6654800" y="14579600"/>
          <a:ext cx="0" cy="15875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8</xdr:col>
      <xdr:colOff>44450</xdr:colOff>
      <xdr:row>90</xdr:row>
      <xdr:rowOff>139700</xdr:rowOff>
    </xdr:from>
    <xdr:to>
      <xdr:col>8</xdr:col>
      <xdr:colOff>44450</xdr:colOff>
      <xdr:row>92</xdr:row>
      <xdr:rowOff>44450</xdr:rowOff>
    </xdr:to>
    <xdr:sp macro="" textlink="">
      <xdr:nvSpPr>
        <xdr:cNvPr id="5501631" name="Line 296">
          <a:extLst>
            <a:ext uri="{FF2B5EF4-FFF2-40B4-BE49-F238E27FC236}">
              <a16:creationId xmlns:a16="http://schemas.microsoft.com/office/drawing/2014/main" id="{00000000-0008-0000-0700-0000BFF25300}"/>
            </a:ext>
          </a:extLst>
        </xdr:cNvPr>
        <xdr:cNvSpPr>
          <a:spLocks noChangeShapeType="1"/>
        </xdr:cNvSpPr>
      </xdr:nvSpPr>
      <xdr:spPr bwMode="auto">
        <a:xfrm>
          <a:off x="6654800" y="15157450"/>
          <a:ext cx="0" cy="22225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6</xdr:col>
      <xdr:colOff>0</xdr:colOff>
      <xdr:row>84</xdr:row>
      <xdr:rowOff>101600</xdr:rowOff>
    </xdr:from>
    <xdr:to>
      <xdr:col>6</xdr:col>
      <xdr:colOff>838200</xdr:colOff>
      <xdr:row>84</xdr:row>
      <xdr:rowOff>101600</xdr:rowOff>
    </xdr:to>
    <xdr:sp macro="" textlink="">
      <xdr:nvSpPr>
        <xdr:cNvPr id="5501632" name="Line 297">
          <a:extLst>
            <a:ext uri="{FF2B5EF4-FFF2-40B4-BE49-F238E27FC236}">
              <a16:creationId xmlns:a16="http://schemas.microsoft.com/office/drawing/2014/main" id="{00000000-0008-0000-0700-0000C0F25300}"/>
            </a:ext>
          </a:extLst>
        </xdr:cNvPr>
        <xdr:cNvSpPr>
          <a:spLocks noChangeShapeType="1"/>
        </xdr:cNvSpPr>
      </xdr:nvSpPr>
      <xdr:spPr bwMode="auto">
        <a:xfrm>
          <a:off x="4279900" y="1412875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89</xdr:row>
      <xdr:rowOff>69850</xdr:rowOff>
    </xdr:from>
    <xdr:to>
      <xdr:col>6</xdr:col>
      <xdr:colOff>685800</xdr:colOff>
      <xdr:row>89</xdr:row>
      <xdr:rowOff>69850</xdr:rowOff>
    </xdr:to>
    <xdr:sp macro="" textlink="">
      <xdr:nvSpPr>
        <xdr:cNvPr id="5501633" name="Line 298">
          <a:extLst>
            <a:ext uri="{FF2B5EF4-FFF2-40B4-BE49-F238E27FC236}">
              <a16:creationId xmlns:a16="http://schemas.microsoft.com/office/drawing/2014/main" id="{00000000-0008-0000-0700-0000C1F25300}"/>
            </a:ext>
          </a:extLst>
        </xdr:cNvPr>
        <xdr:cNvSpPr>
          <a:spLocks noChangeShapeType="1"/>
        </xdr:cNvSpPr>
      </xdr:nvSpPr>
      <xdr:spPr bwMode="auto">
        <a:xfrm>
          <a:off x="4279900" y="14916150"/>
          <a:ext cx="6858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25400</xdr:rowOff>
    </xdr:from>
    <xdr:to>
      <xdr:col>6</xdr:col>
      <xdr:colOff>971550</xdr:colOff>
      <xdr:row>93</xdr:row>
      <xdr:rowOff>25400</xdr:rowOff>
    </xdr:to>
    <xdr:sp macro="" textlink="">
      <xdr:nvSpPr>
        <xdr:cNvPr id="5501634" name="Line 299">
          <a:extLst>
            <a:ext uri="{FF2B5EF4-FFF2-40B4-BE49-F238E27FC236}">
              <a16:creationId xmlns:a16="http://schemas.microsoft.com/office/drawing/2014/main" id="{00000000-0008-0000-0700-0000C2F25300}"/>
            </a:ext>
          </a:extLst>
        </xdr:cNvPr>
        <xdr:cNvSpPr>
          <a:spLocks noChangeShapeType="1"/>
        </xdr:cNvSpPr>
      </xdr:nvSpPr>
      <xdr:spPr bwMode="auto">
        <a:xfrm>
          <a:off x="4279900" y="15519400"/>
          <a:ext cx="97155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76200</xdr:rowOff>
    </xdr:from>
    <xdr:to>
      <xdr:col>6</xdr:col>
      <xdr:colOff>476250</xdr:colOff>
      <xdr:row>96</xdr:row>
      <xdr:rowOff>76200</xdr:rowOff>
    </xdr:to>
    <xdr:sp macro="" textlink="">
      <xdr:nvSpPr>
        <xdr:cNvPr id="5501635" name="Line 300">
          <a:extLst>
            <a:ext uri="{FF2B5EF4-FFF2-40B4-BE49-F238E27FC236}">
              <a16:creationId xmlns:a16="http://schemas.microsoft.com/office/drawing/2014/main" id="{00000000-0008-0000-0700-0000C3F25300}"/>
            </a:ext>
          </a:extLst>
        </xdr:cNvPr>
        <xdr:cNvSpPr>
          <a:spLocks noChangeShapeType="1"/>
        </xdr:cNvSpPr>
      </xdr:nvSpPr>
      <xdr:spPr bwMode="auto">
        <a:xfrm>
          <a:off x="4279900" y="1605280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152400</xdr:colOff>
      <xdr:row>103</xdr:row>
      <xdr:rowOff>0</xdr:rowOff>
    </xdr:from>
    <xdr:to>
      <xdr:col>7</xdr:col>
      <xdr:colOff>152400</xdr:colOff>
      <xdr:row>104</xdr:row>
      <xdr:rowOff>12700</xdr:rowOff>
    </xdr:to>
    <xdr:sp macro="" textlink="">
      <xdr:nvSpPr>
        <xdr:cNvPr id="5501636" name="Line 301">
          <a:extLst>
            <a:ext uri="{FF2B5EF4-FFF2-40B4-BE49-F238E27FC236}">
              <a16:creationId xmlns:a16="http://schemas.microsoft.com/office/drawing/2014/main" id="{00000000-0008-0000-0700-0000C4F25300}"/>
            </a:ext>
          </a:extLst>
        </xdr:cNvPr>
        <xdr:cNvSpPr>
          <a:spLocks noChangeShapeType="1"/>
        </xdr:cNvSpPr>
      </xdr:nvSpPr>
      <xdr:spPr bwMode="auto">
        <a:xfrm>
          <a:off x="6292850" y="17138650"/>
          <a:ext cx="0" cy="184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81</xdr:row>
      <xdr:rowOff>76200</xdr:rowOff>
    </xdr:from>
    <xdr:to>
      <xdr:col>6</xdr:col>
      <xdr:colOff>152400</xdr:colOff>
      <xdr:row>81</xdr:row>
      <xdr:rowOff>76200</xdr:rowOff>
    </xdr:to>
    <xdr:sp macro="" textlink="">
      <xdr:nvSpPr>
        <xdr:cNvPr id="5501637" name="Line 302">
          <a:extLst>
            <a:ext uri="{FF2B5EF4-FFF2-40B4-BE49-F238E27FC236}">
              <a16:creationId xmlns:a16="http://schemas.microsoft.com/office/drawing/2014/main" id="{00000000-0008-0000-0700-0000C5F25300}"/>
            </a:ext>
          </a:extLst>
        </xdr:cNvPr>
        <xdr:cNvSpPr>
          <a:spLocks noChangeShapeType="1"/>
        </xdr:cNvSpPr>
      </xdr:nvSpPr>
      <xdr:spPr bwMode="auto">
        <a:xfrm>
          <a:off x="4279900" y="136017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1778000</xdr:colOff>
      <xdr:row>83</xdr:row>
      <xdr:rowOff>82550</xdr:rowOff>
    </xdr:from>
    <xdr:to>
      <xdr:col>9</xdr:col>
      <xdr:colOff>0</xdr:colOff>
      <xdr:row>83</xdr:row>
      <xdr:rowOff>82550</xdr:rowOff>
    </xdr:to>
    <xdr:sp macro="" textlink="">
      <xdr:nvSpPr>
        <xdr:cNvPr id="5501638" name="Line 303">
          <a:extLst>
            <a:ext uri="{FF2B5EF4-FFF2-40B4-BE49-F238E27FC236}">
              <a16:creationId xmlns:a16="http://schemas.microsoft.com/office/drawing/2014/main" id="{00000000-0008-0000-0700-0000C6F25300}"/>
            </a:ext>
          </a:extLst>
        </xdr:cNvPr>
        <xdr:cNvSpPr>
          <a:spLocks noChangeShapeType="1"/>
        </xdr:cNvSpPr>
      </xdr:nvSpPr>
      <xdr:spPr bwMode="auto">
        <a:xfrm flipV="1">
          <a:off x="6057900" y="13944600"/>
          <a:ext cx="10223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7</xdr:col>
      <xdr:colOff>190500</xdr:colOff>
      <xdr:row>85</xdr:row>
      <xdr:rowOff>76200</xdr:rowOff>
    </xdr:from>
    <xdr:to>
      <xdr:col>9</xdr:col>
      <xdr:colOff>0</xdr:colOff>
      <xdr:row>85</xdr:row>
      <xdr:rowOff>76200</xdr:rowOff>
    </xdr:to>
    <xdr:sp macro="" textlink="">
      <xdr:nvSpPr>
        <xdr:cNvPr id="5501639" name="Line 304">
          <a:extLst>
            <a:ext uri="{FF2B5EF4-FFF2-40B4-BE49-F238E27FC236}">
              <a16:creationId xmlns:a16="http://schemas.microsoft.com/office/drawing/2014/main" id="{00000000-0008-0000-0700-0000C7F25300}"/>
            </a:ext>
          </a:extLst>
        </xdr:cNvPr>
        <xdr:cNvSpPr>
          <a:spLocks noChangeShapeType="1"/>
        </xdr:cNvSpPr>
      </xdr:nvSpPr>
      <xdr:spPr bwMode="auto">
        <a:xfrm flipV="1">
          <a:off x="6330950" y="14274800"/>
          <a:ext cx="7493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8</xdr:col>
      <xdr:colOff>44450</xdr:colOff>
      <xdr:row>87</xdr:row>
      <xdr:rowOff>133350</xdr:rowOff>
    </xdr:from>
    <xdr:to>
      <xdr:col>9</xdr:col>
      <xdr:colOff>0</xdr:colOff>
      <xdr:row>87</xdr:row>
      <xdr:rowOff>133350</xdr:rowOff>
    </xdr:to>
    <xdr:sp macro="" textlink="">
      <xdr:nvSpPr>
        <xdr:cNvPr id="5501640" name="Line 305">
          <a:extLst>
            <a:ext uri="{FF2B5EF4-FFF2-40B4-BE49-F238E27FC236}">
              <a16:creationId xmlns:a16="http://schemas.microsoft.com/office/drawing/2014/main" id="{00000000-0008-0000-0700-0000C8F25300}"/>
            </a:ext>
          </a:extLst>
        </xdr:cNvPr>
        <xdr:cNvSpPr>
          <a:spLocks noChangeShapeType="1"/>
        </xdr:cNvSpPr>
      </xdr:nvSpPr>
      <xdr:spPr bwMode="auto">
        <a:xfrm flipV="1">
          <a:off x="6654800" y="14655800"/>
          <a:ext cx="4254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8</xdr:col>
      <xdr:colOff>488950</xdr:colOff>
      <xdr:row>89</xdr:row>
      <xdr:rowOff>88900</xdr:rowOff>
    </xdr:from>
    <xdr:to>
      <xdr:col>9</xdr:col>
      <xdr:colOff>0</xdr:colOff>
      <xdr:row>89</xdr:row>
      <xdr:rowOff>88900</xdr:rowOff>
    </xdr:to>
    <xdr:sp macro="" textlink="">
      <xdr:nvSpPr>
        <xdr:cNvPr id="5501641" name="Line 307">
          <a:extLst>
            <a:ext uri="{FF2B5EF4-FFF2-40B4-BE49-F238E27FC236}">
              <a16:creationId xmlns:a16="http://schemas.microsoft.com/office/drawing/2014/main" id="{00000000-0008-0000-0700-0000C9F25300}"/>
            </a:ext>
          </a:extLst>
        </xdr:cNvPr>
        <xdr:cNvSpPr>
          <a:spLocks noChangeShapeType="1"/>
        </xdr:cNvSpPr>
      </xdr:nvSpPr>
      <xdr:spPr bwMode="auto">
        <a:xfrm flipV="1">
          <a:off x="7080250" y="14935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44450</xdr:colOff>
      <xdr:row>91</xdr:row>
      <xdr:rowOff>76200</xdr:rowOff>
    </xdr:from>
    <xdr:to>
      <xdr:col>9</xdr:col>
      <xdr:colOff>12700</xdr:colOff>
      <xdr:row>91</xdr:row>
      <xdr:rowOff>76200</xdr:rowOff>
    </xdr:to>
    <xdr:sp macro="" textlink="">
      <xdr:nvSpPr>
        <xdr:cNvPr id="5501642" name="Line 308">
          <a:extLst>
            <a:ext uri="{FF2B5EF4-FFF2-40B4-BE49-F238E27FC236}">
              <a16:creationId xmlns:a16="http://schemas.microsoft.com/office/drawing/2014/main" id="{00000000-0008-0000-0700-0000CAF25300}"/>
            </a:ext>
          </a:extLst>
        </xdr:cNvPr>
        <xdr:cNvSpPr>
          <a:spLocks noChangeShapeType="1"/>
        </xdr:cNvSpPr>
      </xdr:nvSpPr>
      <xdr:spPr bwMode="auto">
        <a:xfrm flipH="1" flipV="1">
          <a:off x="6654800" y="15252700"/>
          <a:ext cx="4381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</xdr:spPr>
    </xdr:sp>
    <xdr:clientData/>
  </xdr:twoCellAnchor>
  <xdr:twoCellAnchor>
    <xdr:from>
      <xdr:col>8</xdr:col>
      <xdr:colOff>488950</xdr:colOff>
      <xdr:row>96</xdr:row>
      <xdr:rowOff>76200</xdr:rowOff>
    </xdr:from>
    <xdr:to>
      <xdr:col>9</xdr:col>
      <xdr:colOff>0</xdr:colOff>
      <xdr:row>96</xdr:row>
      <xdr:rowOff>76200</xdr:rowOff>
    </xdr:to>
    <xdr:sp macro="" textlink="">
      <xdr:nvSpPr>
        <xdr:cNvPr id="5501643" name="Line 309">
          <a:extLst>
            <a:ext uri="{FF2B5EF4-FFF2-40B4-BE49-F238E27FC236}">
              <a16:creationId xmlns:a16="http://schemas.microsoft.com/office/drawing/2014/main" id="{00000000-0008-0000-0700-0000CBF25300}"/>
            </a:ext>
          </a:extLst>
        </xdr:cNvPr>
        <xdr:cNvSpPr>
          <a:spLocks noChangeShapeType="1"/>
        </xdr:cNvSpPr>
      </xdr:nvSpPr>
      <xdr:spPr bwMode="auto">
        <a:xfrm>
          <a:off x="7080250" y="16052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488950</xdr:colOff>
      <xdr:row>100</xdr:row>
      <xdr:rowOff>88900</xdr:rowOff>
    </xdr:from>
    <xdr:to>
      <xdr:col>9</xdr:col>
      <xdr:colOff>0</xdr:colOff>
      <xdr:row>100</xdr:row>
      <xdr:rowOff>88900</xdr:rowOff>
    </xdr:to>
    <xdr:sp macro="" textlink="">
      <xdr:nvSpPr>
        <xdr:cNvPr id="5501644" name="Line 310">
          <a:extLst>
            <a:ext uri="{FF2B5EF4-FFF2-40B4-BE49-F238E27FC236}">
              <a16:creationId xmlns:a16="http://schemas.microsoft.com/office/drawing/2014/main" id="{00000000-0008-0000-0700-0000CCF25300}"/>
            </a:ext>
          </a:extLst>
        </xdr:cNvPr>
        <xdr:cNvSpPr>
          <a:spLocks noChangeShapeType="1"/>
        </xdr:cNvSpPr>
      </xdr:nvSpPr>
      <xdr:spPr bwMode="auto">
        <a:xfrm>
          <a:off x="7080250" y="16725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222250</xdr:colOff>
      <xdr:row>89</xdr:row>
      <xdr:rowOff>88900</xdr:rowOff>
    </xdr:from>
    <xdr:to>
      <xdr:col>8</xdr:col>
      <xdr:colOff>463550</xdr:colOff>
      <xdr:row>89</xdr:row>
      <xdr:rowOff>88900</xdr:rowOff>
    </xdr:to>
    <xdr:sp macro="" textlink="">
      <xdr:nvSpPr>
        <xdr:cNvPr id="5501645" name="Line 278">
          <a:extLst>
            <a:ext uri="{FF2B5EF4-FFF2-40B4-BE49-F238E27FC236}">
              <a16:creationId xmlns:a16="http://schemas.microsoft.com/office/drawing/2014/main" id="{00000000-0008-0000-0700-0000CDF25300}"/>
            </a:ext>
          </a:extLst>
        </xdr:cNvPr>
        <xdr:cNvSpPr>
          <a:spLocks noChangeShapeType="1"/>
        </xdr:cNvSpPr>
      </xdr:nvSpPr>
      <xdr:spPr bwMode="auto">
        <a:xfrm>
          <a:off x="6832600" y="14935200"/>
          <a:ext cx="2413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69850</xdr:colOff>
      <xdr:row>1</xdr:row>
      <xdr:rowOff>12700</xdr:rowOff>
    </xdr:from>
    <xdr:to>
      <xdr:col>19</xdr:col>
      <xdr:colOff>0</xdr:colOff>
      <xdr:row>31</xdr:row>
      <xdr:rowOff>101600</xdr:rowOff>
    </xdr:to>
    <xdr:grpSp>
      <xdr:nvGrpSpPr>
        <xdr:cNvPr id="5501646" name="Group 232">
          <a:extLst>
            <a:ext uri="{FF2B5EF4-FFF2-40B4-BE49-F238E27FC236}">
              <a16:creationId xmlns:a16="http://schemas.microsoft.com/office/drawing/2014/main" id="{00000000-0008-0000-0700-0000CEF25300}"/>
            </a:ext>
          </a:extLst>
        </xdr:cNvPr>
        <xdr:cNvGrpSpPr>
          <a:grpSpLocks/>
        </xdr:cNvGrpSpPr>
      </xdr:nvGrpSpPr>
      <xdr:grpSpPr bwMode="auto">
        <a:xfrm>
          <a:off x="12909550" y="184150"/>
          <a:ext cx="2101850" cy="5127625"/>
          <a:chOff x="3421" y="5379"/>
          <a:chExt cx="2289" cy="5759"/>
        </a:xfrm>
      </xdr:grpSpPr>
      <xdr:grpSp>
        <xdr:nvGrpSpPr>
          <xdr:cNvPr id="5501685" name="Group 233">
            <a:extLst>
              <a:ext uri="{FF2B5EF4-FFF2-40B4-BE49-F238E27FC236}">
                <a16:creationId xmlns:a16="http://schemas.microsoft.com/office/drawing/2014/main" id="{00000000-0008-0000-0700-0000F5F253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501703" name="Arc 234">
              <a:extLst>
                <a:ext uri="{FF2B5EF4-FFF2-40B4-BE49-F238E27FC236}">
                  <a16:creationId xmlns:a16="http://schemas.microsoft.com/office/drawing/2014/main" id="{00000000-0008-0000-0700-000007F353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</xdr:spPr>
        </xdr:sp>
        <xdr:grpSp>
          <xdr:nvGrpSpPr>
            <xdr:cNvPr id="5501704" name="Group 235">
              <a:extLst>
                <a:ext uri="{FF2B5EF4-FFF2-40B4-BE49-F238E27FC236}">
                  <a16:creationId xmlns:a16="http://schemas.microsoft.com/office/drawing/2014/main" id="{00000000-0008-0000-0700-000008F353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501705" name="Line 236">
                <a:extLst>
                  <a:ext uri="{FF2B5EF4-FFF2-40B4-BE49-F238E27FC236}">
                    <a16:creationId xmlns:a16="http://schemas.microsoft.com/office/drawing/2014/main" id="{00000000-0008-0000-0700-000009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6" name="Line 237">
                <a:extLst>
                  <a:ext uri="{FF2B5EF4-FFF2-40B4-BE49-F238E27FC236}">
                    <a16:creationId xmlns:a16="http://schemas.microsoft.com/office/drawing/2014/main" id="{00000000-0008-0000-0700-00000A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7" name="Line 238">
                <a:extLst>
                  <a:ext uri="{FF2B5EF4-FFF2-40B4-BE49-F238E27FC236}">
                    <a16:creationId xmlns:a16="http://schemas.microsoft.com/office/drawing/2014/main" id="{00000000-0008-0000-0700-00000B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8" name="Line 239">
                <a:extLst>
                  <a:ext uri="{FF2B5EF4-FFF2-40B4-BE49-F238E27FC236}">
                    <a16:creationId xmlns:a16="http://schemas.microsoft.com/office/drawing/2014/main" id="{00000000-0008-0000-0700-00000C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9" name="Line 240">
                <a:extLst>
                  <a:ext uri="{FF2B5EF4-FFF2-40B4-BE49-F238E27FC236}">
                    <a16:creationId xmlns:a16="http://schemas.microsoft.com/office/drawing/2014/main" id="{00000000-0008-0000-0700-00000D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</xdr:grpSp>
      </xdr:grpSp>
      <xdr:grpSp>
        <xdr:nvGrpSpPr>
          <xdr:cNvPr id="5501686" name="Group 241">
            <a:extLst>
              <a:ext uri="{FF2B5EF4-FFF2-40B4-BE49-F238E27FC236}">
                <a16:creationId xmlns:a16="http://schemas.microsoft.com/office/drawing/2014/main" id="{00000000-0008-0000-0700-0000F6F253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501696" name="Arc 242">
              <a:extLst>
                <a:ext uri="{FF2B5EF4-FFF2-40B4-BE49-F238E27FC236}">
                  <a16:creationId xmlns:a16="http://schemas.microsoft.com/office/drawing/2014/main" id="{00000000-0008-0000-0700-000000F353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</xdr:spPr>
        </xdr:sp>
        <xdr:grpSp>
          <xdr:nvGrpSpPr>
            <xdr:cNvPr id="5501697" name="Group 243">
              <a:extLst>
                <a:ext uri="{FF2B5EF4-FFF2-40B4-BE49-F238E27FC236}">
                  <a16:creationId xmlns:a16="http://schemas.microsoft.com/office/drawing/2014/main" id="{00000000-0008-0000-0700-000001F353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501698" name="Line 244">
                <a:extLst>
                  <a:ext uri="{FF2B5EF4-FFF2-40B4-BE49-F238E27FC236}">
                    <a16:creationId xmlns:a16="http://schemas.microsoft.com/office/drawing/2014/main" id="{00000000-0008-0000-0700-000002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699" name="Line 245">
                <a:extLst>
                  <a:ext uri="{FF2B5EF4-FFF2-40B4-BE49-F238E27FC236}">
                    <a16:creationId xmlns:a16="http://schemas.microsoft.com/office/drawing/2014/main" id="{00000000-0008-0000-0700-000003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0" name="Line 246">
                <a:extLst>
                  <a:ext uri="{FF2B5EF4-FFF2-40B4-BE49-F238E27FC236}">
                    <a16:creationId xmlns:a16="http://schemas.microsoft.com/office/drawing/2014/main" id="{00000000-0008-0000-0700-000004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1" name="Line 247">
                <a:extLst>
                  <a:ext uri="{FF2B5EF4-FFF2-40B4-BE49-F238E27FC236}">
                    <a16:creationId xmlns:a16="http://schemas.microsoft.com/office/drawing/2014/main" id="{00000000-0008-0000-0700-000005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01702" name="Line 248">
                <a:extLst>
                  <a:ext uri="{FF2B5EF4-FFF2-40B4-BE49-F238E27FC236}">
                    <a16:creationId xmlns:a16="http://schemas.microsoft.com/office/drawing/2014/main" id="{00000000-0008-0000-0700-000006F353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5501687" name="Line 249">
            <a:extLst>
              <a:ext uri="{FF2B5EF4-FFF2-40B4-BE49-F238E27FC236}">
                <a16:creationId xmlns:a16="http://schemas.microsoft.com/office/drawing/2014/main" id="{00000000-0008-0000-0700-0000F7F253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88" name="Line 250">
            <a:extLst>
              <a:ext uri="{FF2B5EF4-FFF2-40B4-BE49-F238E27FC236}">
                <a16:creationId xmlns:a16="http://schemas.microsoft.com/office/drawing/2014/main" id="{00000000-0008-0000-0700-0000F8F253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89" name="Line 251">
            <a:extLst>
              <a:ext uri="{FF2B5EF4-FFF2-40B4-BE49-F238E27FC236}">
                <a16:creationId xmlns:a16="http://schemas.microsoft.com/office/drawing/2014/main" id="{00000000-0008-0000-0700-0000F9F253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0" name="Line 252">
            <a:extLst>
              <a:ext uri="{FF2B5EF4-FFF2-40B4-BE49-F238E27FC236}">
                <a16:creationId xmlns:a16="http://schemas.microsoft.com/office/drawing/2014/main" id="{00000000-0008-0000-0700-0000FAF253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1" name="Line 253">
            <a:extLst>
              <a:ext uri="{FF2B5EF4-FFF2-40B4-BE49-F238E27FC236}">
                <a16:creationId xmlns:a16="http://schemas.microsoft.com/office/drawing/2014/main" id="{00000000-0008-0000-0700-0000FBF253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2" name="Line 254">
            <a:extLst>
              <a:ext uri="{FF2B5EF4-FFF2-40B4-BE49-F238E27FC236}">
                <a16:creationId xmlns:a16="http://schemas.microsoft.com/office/drawing/2014/main" id="{00000000-0008-0000-0700-0000FCF253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3" name="Line 255">
            <a:extLst>
              <a:ext uri="{FF2B5EF4-FFF2-40B4-BE49-F238E27FC236}">
                <a16:creationId xmlns:a16="http://schemas.microsoft.com/office/drawing/2014/main" id="{00000000-0008-0000-0700-0000FDF253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4" name="Line 256">
            <a:extLst>
              <a:ext uri="{FF2B5EF4-FFF2-40B4-BE49-F238E27FC236}">
                <a16:creationId xmlns:a16="http://schemas.microsoft.com/office/drawing/2014/main" id="{00000000-0008-0000-0700-0000FEF253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  <xdr:sp macro="" textlink="">
        <xdr:nvSpPr>
          <xdr:cNvPr id="5501695" name="Line 257">
            <a:extLst>
              <a:ext uri="{FF2B5EF4-FFF2-40B4-BE49-F238E27FC236}">
                <a16:creationId xmlns:a16="http://schemas.microsoft.com/office/drawing/2014/main" id="{00000000-0008-0000-0700-0000FFF253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</xdr:spPr>
      </xdr:sp>
    </xdr:grpSp>
    <xdr:clientData/>
  </xdr:twoCellAnchor>
  <xdr:twoCellAnchor>
    <xdr:from>
      <xdr:col>17</xdr:col>
      <xdr:colOff>831850</xdr:colOff>
      <xdr:row>11</xdr:row>
      <xdr:rowOff>101600</xdr:rowOff>
    </xdr:from>
    <xdr:to>
      <xdr:col>18</xdr:col>
      <xdr:colOff>368300</xdr:colOff>
      <xdr:row>11</xdr:row>
      <xdr:rowOff>101600</xdr:rowOff>
    </xdr:to>
    <xdr:sp macro="" textlink="">
      <xdr:nvSpPr>
        <xdr:cNvPr id="5501647" name="Line 268">
          <a:extLst>
            <a:ext uri="{FF2B5EF4-FFF2-40B4-BE49-F238E27FC236}">
              <a16:creationId xmlns:a16="http://schemas.microsoft.com/office/drawing/2014/main" id="{00000000-0008-0000-0700-0000CFF25300}"/>
            </a:ext>
          </a:extLst>
        </xdr:cNvPr>
        <xdr:cNvSpPr>
          <a:spLocks noChangeShapeType="1"/>
        </xdr:cNvSpPr>
      </xdr:nvSpPr>
      <xdr:spPr bwMode="auto">
        <a:xfrm flipV="1">
          <a:off x="14408150" y="2032000"/>
          <a:ext cx="6731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17</xdr:col>
      <xdr:colOff>88900</xdr:colOff>
      <xdr:row>1</xdr:row>
      <xdr:rowOff>12700</xdr:rowOff>
    </xdr:from>
    <xdr:to>
      <xdr:col>19</xdr:col>
      <xdr:colOff>336550</xdr:colOff>
      <xdr:row>1</xdr:row>
      <xdr:rowOff>12700</xdr:rowOff>
    </xdr:to>
    <xdr:sp macro="" textlink="">
      <xdr:nvSpPr>
        <xdr:cNvPr id="5501648" name="Line 269">
          <a:extLst>
            <a:ext uri="{FF2B5EF4-FFF2-40B4-BE49-F238E27FC236}">
              <a16:creationId xmlns:a16="http://schemas.microsoft.com/office/drawing/2014/main" id="{00000000-0008-0000-0700-0000D0F25300}"/>
            </a:ext>
          </a:extLst>
        </xdr:cNvPr>
        <xdr:cNvSpPr>
          <a:spLocks noChangeShapeType="1"/>
        </xdr:cNvSpPr>
      </xdr:nvSpPr>
      <xdr:spPr bwMode="auto">
        <a:xfrm flipV="1">
          <a:off x="13665200" y="184150"/>
          <a:ext cx="252095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1054100</xdr:colOff>
      <xdr:row>1</xdr:row>
      <xdr:rowOff>12700</xdr:rowOff>
    </xdr:from>
    <xdr:to>
      <xdr:col>18</xdr:col>
      <xdr:colOff>1054100</xdr:colOff>
      <xdr:row>28</xdr:row>
      <xdr:rowOff>139700</xdr:rowOff>
    </xdr:to>
    <xdr:sp macro="" textlink="">
      <xdr:nvSpPr>
        <xdr:cNvPr id="5501649" name="Line 270">
          <a:extLst>
            <a:ext uri="{FF2B5EF4-FFF2-40B4-BE49-F238E27FC236}">
              <a16:creationId xmlns:a16="http://schemas.microsoft.com/office/drawing/2014/main" id="{00000000-0008-0000-0700-0000D1F25300}"/>
            </a:ext>
          </a:extLst>
        </xdr:cNvPr>
        <xdr:cNvSpPr>
          <a:spLocks noChangeShapeType="1"/>
        </xdr:cNvSpPr>
      </xdr:nvSpPr>
      <xdr:spPr bwMode="auto">
        <a:xfrm>
          <a:off x="15767050" y="184150"/>
          <a:ext cx="0" cy="47053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17</xdr:col>
      <xdr:colOff>120650</xdr:colOff>
      <xdr:row>10</xdr:row>
      <xdr:rowOff>152400</xdr:rowOff>
    </xdr:from>
    <xdr:to>
      <xdr:col>18</xdr:col>
      <xdr:colOff>412750</xdr:colOff>
      <xdr:row>10</xdr:row>
      <xdr:rowOff>152400</xdr:rowOff>
    </xdr:to>
    <xdr:sp macro="" textlink="">
      <xdr:nvSpPr>
        <xdr:cNvPr id="5501650" name="Line 271">
          <a:extLst>
            <a:ext uri="{FF2B5EF4-FFF2-40B4-BE49-F238E27FC236}">
              <a16:creationId xmlns:a16="http://schemas.microsoft.com/office/drawing/2014/main" id="{00000000-0008-0000-0700-0000D2F25300}"/>
            </a:ext>
          </a:extLst>
        </xdr:cNvPr>
        <xdr:cNvSpPr>
          <a:spLocks noChangeShapeType="1"/>
        </xdr:cNvSpPr>
      </xdr:nvSpPr>
      <xdr:spPr bwMode="auto">
        <a:xfrm>
          <a:off x="13696950" y="1911350"/>
          <a:ext cx="142875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152400</xdr:colOff>
      <xdr:row>0</xdr:row>
      <xdr:rowOff>158750</xdr:rowOff>
    </xdr:from>
    <xdr:to>
      <xdr:col>17</xdr:col>
      <xdr:colOff>152400</xdr:colOff>
      <xdr:row>10</xdr:row>
      <xdr:rowOff>139700</xdr:rowOff>
    </xdr:to>
    <xdr:sp macro="" textlink="">
      <xdr:nvSpPr>
        <xdr:cNvPr id="5501651" name="Line 272">
          <a:extLst>
            <a:ext uri="{FF2B5EF4-FFF2-40B4-BE49-F238E27FC236}">
              <a16:creationId xmlns:a16="http://schemas.microsoft.com/office/drawing/2014/main" id="{00000000-0008-0000-0700-0000D3F25300}"/>
            </a:ext>
          </a:extLst>
        </xdr:cNvPr>
        <xdr:cNvSpPr>
          <a:spLocks noChangeShapeType="1"/>
        </xdr:cNvSpPr>
      </xdr:nvSpPr>
      <xdr:spPr bwMode="auto">
        <a:xfrm flipH="1">
          <a:off x="13728700" y="158750"/>
          <a:ext cx="0" cy="17399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16</xdr:col>
      <xdr:colOff>234950</xdr:colOff>
      <xdr:row>31</xdr:row>
      <xdr:rowOff>95250</xdr:rowOff>
    </xdr:from>
    <xdr:to>
      <xdr:col>17</xdr:col>
      <xdr:colOff>82550</xdr:colOff>
      <xdr:row>31</xdr:row>
      <xdr:rowOff>95250</xdr:rowOff>
    </xdr:to>
    <xdr:sp macro="" textlink="">
      <xdr:nvSpPr>
        <xdr:cNvPr id="5501652" name="Line 277">
          <a:extLst>
            <a:ext uri="{FF2B5EF4-FFF2-40B4-BE49-F238E27FC236}">
              <a16:creationId xmlns:a16="http://schemas.microsoft.com/office/drawing/2014/main" id="{00000000-0008-0000-0700-0000D4F25300}"/>
            </a:ext>
          </a:extLst>
        </xdr:cNvPr>
        <xdr:cNvSpPr>
          <a:spLocks noChangeShapeType="1"/>
        </xdr:cNvSpPr>
      </xdr:nvSpPr>
      <xdr:spPr bwMode="auto">
        <a:xfrm>
          <a:off x="12998450" y="5359400"/>
          <a:ext cx="660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196850</xdr:colOff>
      <xdr:row>29</xdr:row>
      <xdr:rowOff>88900</xdr:rowOff>
    </xdr:from>
    <xdr:to>
      <xdr:col>18</xdr:col>
      <xdr:colOff>1035050</xdr:colOff>
      <xdr:row>29</xdr:row>
      <xdr:rowOff>88900</xdr:rowOff>
    </xdr:to>
    <xdr:sp macro="" textlink="">
      <xdr:nvSpPr>
        <xdr:cNvPr id="5501653" name="Line 280">
          <a:extLst>
            <a:ext uri="{FF2B5EF4-FFF2-40B4-BE49-F238E27FC236}">
              <a16:creationId xmlns:a16="http://schemas.microsoft.com/office/drawing/2014/main" id="{00000000-0008-0000-0700-0000D5F25300}"/>
            </a:ext>
          </a:extLst>
        </xdr:cNvPr>
        <xdr:cNvSpPr>
          <a:spLocks noChangeShapeType="1"/>
        </xdr:cNvSpPr>
      </xdr:nvSpPr>
      <xdr:spPr bwMode="auto">
        <a:xfrm>
          <a:off x="14909800" y="5010150"/>
          <a:ext cx="838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508000</xdr:colOff>
      <xdr:row>20</xdr:row>
      <xdr:rowOff>0</xdr:rowOff>
    </xdr:from>
    <xdr:to>
      <xdr:col>17</xdr:col>
      <xdr:colOff>508000</xdr:colOff>
      <xdr:row>28</xdr:row>
      <xdr:rowOff>127000</xdr:rowOff>
    </xdr:to>
    <xdr:sp macro="" textlink="">
      <xdr:nvSpPr>
        <xdr:cNvPr id="5501654" name="Line 281">
          <a:extLst>
            <a:ext uri="{FF2B5EF4-FFF2-40B4-BE49-F238E27FC236}">
              <a16:creationId xmlns:a16="http://schemas.microsoft.com/office/drawing/2014/main" id="{00000000-0008-0000-0700-0000D6F25300}"/>
            </a:ext>
          </a:extLst>
        </xdr:cNvPr>
        <xdr:cNvSpPr>
          <a:spLocks noChangeShapeType="1"/>
        </xdr:cNvSpPr>
      </xdr:nvSpPr>
      <xdr:spPr bwMode="auto">
        <a:xfrm flipH="1">
          <a:off x="14084300" y="3422650"/>
          <a:ext cx="0" cy="14541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16</xdr:col>
      <xdr:colOff>311150</xdr:colOff>
      <xdr:row>27</xdr:row>
      <xdr:rowOff>133350</xdr:rowOff>
    </xdr:from>
    <xdr:to>
      <xdr:col>16</xdr:col>
      <xdr:colOff>323850</xdr:colOff>
      <xdr:row>31</xdr:row>
      <xdr:rowOff>95250</xdr:rowOff>
    </xdr:to>
    <xdr:sp macro="" textlink="">
      <xdr:nvSpPr>
        <xdr:cNvPr id="5501655" name="Line 282">
          <a:extLst>
            <a:ext uri="{FF2B5EF4-FFF2-40B4-BE49-F238E27FC236}">
              <a16:creationId xmlns:a16="http://schemas.microsoft.com/office/drawing/2014/main" id="{00000000-0008-0000-0700-0000D7F25300}"/>
            </a:ext>
          </a:extLst>
        </xdr:cNvPr>
        <xdr:cNvSpPr>
          <a:spLocks noChangeShapeType="1"/>
        </xdr:cNvSpPr>
      </xdr:nvSpPr>
      <xdr:spPr bwMode="auto">
        <a:xfrm flipH="1">
          <a:off x="13074650" y="4711700"/>
          <a:ext cx="12700" cy="647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16</xdr:col>
      <xdr:colOff>730250</xdr:colOff>
      <xdr:row>20</xdr:row>
      <xdr:rowOff>0</xdr:rowOff>
    </xdr:from>
    <xdr:to>
      <xdr:col>16</xdr:col>
      <xdr:colOff>730250</xdr:colOff>
      <xdr:row>27</xdr:row>
      <xdr:rowOff>133350</xdr:rowOff>
    </xdr:to>
    <xdr:sp macro="" textlink="">
      <xdr:nvSpPr>
        <xdr:cNvPr id="5501656" name="Line 283">
          <a:extLst>
            <a:ext uri="{FF2B5EF4-FFF2-40B4-BE49-F238E27FC236}">
              <a16:creationId xmlns:a16="http://schemas.microsoft.com/office/drawing/2014/main" id="{00000000-0008-0000-0700-0000D8F25300}"/>
            </a:ext>
          </a:extLst>
        </xdr:cNvPr>
        <xdr:cNvSpPr>
          <a:spLocks noChangeShapeType="1"/>
        </xdr:cNvSpPr>
      </xdr:nvSpPr>
      <xdr:spPr bwMode="auto">
        <a:xfrm>
          <a:off x="13493750" y="3422650"/>
          <a:ext cx="0" cy="12890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17</xdr:col>
      <xdr:colOff>69850</xdr:colOff>
      <xdr:row>31</xdr:row>
      <xdr:rowOff>95250</xdr:rowOff>
    </xdr:from>
    <xdr:to>
      <xdr:col>17</xdr:col>
      <xdr:colOff>69850</xdr:colOff>
      <xdr:row>32</xdr:row>
      <xdr:rowOff>0</xdr:rowOff>
    </xdr:to>
    <xdr:sp macro="" textlink="">
      <xdr:nvSpPr>
        <xdr:cNvPr id="5501657" name="Line 284">
          <a:extLst>
            <a:ext uri="{FF2B5EF4-FFF2-40B4-BE49-F238E27FC236}">
              <a16:creationId xmlns:a16="http://schemas.microsoft.com/office/drawing/2014/main" id="{00000000-0008-0000-0700-0000D9F25300}"/>
            </a:ext>
          </a:extLst>
        </xdr:cNvPr>
        <xdr:cNvSpPr>
          <a:spLocks noChangeShapeType="1"/>
        </xdr:cNvSpPr>
      </xdr:nvSpPr>
      <xdr:spPr bwMode="auto">
        <a:xfrm flipV="1">
          <a:off x="13646150" y="5359400"/>
          <a:ext cx="0" cy="762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946150</xdr:colOff>
      <xdr:row>29</xdr:row>
      <xdr:rowOff>88900</xdr:rowOff>
    </xdr:from>
    <xdr:to>
      <xdr:col>17</xdr:col>
      <xdr:colOff>946150</xdr:colOff>
      <xdr:row>31</xdr:row>
      <xdr:rowOff>158750</xdr:rowOff>
    </xdr:to>
    <xdr:sp macro="" textlink="">
      <xdr:nvSpPr>
        <xdr:cNvPr id="5501658" name="Line 285">
          <a:extLst>
            <a:ext uri="{FF2B5EF4-FFF2-40B4-BE49-F238E27FC236}">
              <a16:creationId xmlns:a16="http://schemas.microsoft.com/office/drawing/2014/main" id="{00000000-0008-0000-0700-0000DAF25300}"/>
            </a:ext>
          </a:extLst>
        </xdr:cNvPr>
        <xdr:cNvSpPr>
          <a:spLocks noChangeShapeType="1"/>
        </xdr:cNvSpPr>
      </xdr:nvSpPr>
      <xdr:spPr bwMode="auto">
        <a:xfrm flipH="1" flipV="1">
          <a:off x="14522450" y="5010150"/>
          <a:ext cx="0" cy="41275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88900</xdr:colOff>
      <xdr:row>31</xdr:row>
      <xdr:rowOff>127000</xdr:rowOff>
    </xdr:from>
    <xdr:to>
      <xdr:col>17</xdr:col>
      <xdr:colOff>958850</xdr:colOff>
      <xdr:row>31</xdr:row>
      <xdr:rowOff>127000</xdr:rowOff>
    </xdr:to>
    <xdr:sp macro="" textlink="">
      <xdr:nvSpPr>
        <xdr:cNvPr id="5501659" name="Line 286">
          <a:extLst>
            <a:ext uri="{FF2B5EF4-FFF2-40B4-BE49-F238E27FC236}">
              <a16:creationId xmlns:a16="http://schemas.microsoft.com/office/drawing/2014/main" id="{00000000-0008-0000-0700-0000DBF25300}"/>
            </a:ext>
          </a:extLst>
        </xdr:cNvPr>
        <xdr:cNvSpPr>
          <a:spLocks noChangeShapeType="1"/>
        </xdr:cNvSpPr>
      </xdr:nvSpPr>
      <xdr:spPr bwMode="auto">
        <a:xfrm flipV="1">
          <a:off x="13665200" y="5391150"/>
          <a:ext cx="86995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17</xdr:col>
      <xdr:colOff>666750</xdr:colOff>
      <xdr:row>16</xdr:row>
      <xdr:rowOff>57150</xdr:rowOff>
    </xdr:from>
    <xdr:to>
      <xdr:col>18</xdr:col>
      <xdr:colOff>514350</xdr:colOff>
      <xdr:row>16</xdr:row>
      <xdr:rowOff>57150</xdr:rowOff>
    </xdr:to>
    <xdr:sp macro="" textlink="">
      <xdr:nvSpPr>
        <xdr:cNvPr id="5501660" name="Line 287">
          <a:extLst>
            <a:ext uri="{FF2B5EF4-FFF2-40B4-BE49-F238E27FC236}">
              <a16:creationId xmlns:a16="http://schemas.microsoft.com/office/drawing/2014/main" id="{00000000-0008-0000-0700-0000DCF25300}"/>
            </a:ext>
          </a:extLst>
        </xdr:cNvPr>
        <xdr:cNvSpPr>
          <a:spLocks noChangeShapeType="1"/>
        </xdr:cNvSpPr>
      </xdr:nvSpPr>
      <xdr:spPr bwMode="auto">
        <a:xfrm flipV="1">
          <a:off x="14243050" y="2819400"/>
          <a:ext cx="98425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17</xdr:col>
      <xdr:colOff>831850</xdr:colOff>
      <xdr:row>14</xdr:row>
      <xdr:rowOff>127000</xdr:rowOff>
    </xdr:from>
    <xdr:to>
      <xdr:col>19</xdr:col>
      <xdr:colOff>19050</xdr:colOff>
      <xdr:row>14</xdr:row>
      <xdr:rowOff>127000</xdr:rowOff>
    </xdr:to>
    <xdr:sp macro="" textlink="">
      <xdr:nvSpPr>
        <xdr:cNvPr id="5501661" name="Line 289">
          <a:extLst>
            <a:ext uri="{FF2B5EF4-FFF2-40B4-BE49-F238E27FC236}">
              <a16:creationId xmlns:a16="http://schemas.microsoft.com/office/drawing/2014/main" id="{00000000-0008-0000-0700-0000DDF25300}"/>
            </a:ext>
          </a:extLst>
        </xdr:cNvPr>
        <xdr:cNvSpPr>
          <a:spLocks noChangeShapeType="1"/>
        </xdr:cNvSpPr>
      </xdr:nvSpPr>
      <xdr:spPr bwMode="auto">
        <a:xfrm>
          <a:off x="14408150" y="2559050"/>
          <a:ext cx="14605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17</xdr:col>
      <xdr:colOff>679450</xdr:colOff>
      <xdr:row>15</xdr:row>
      <xdr:rowOff>127000</xdr:rowOff>
    </xdr:from>
    <xdr:to>
      <xdr:col>19</xdr:col>
      <xdr:colOff>44450</xdr:colOff>
      <xdr:row>15</xdr:row>
      <xdr:rowOff>127000</xdr:rowOff>
    </xdr:to>
    <xdr:sp macro="" textlink="">
      <xdr:nvSpPr>
        <xdr:cNvPr id="5501662" name="Line 290">
          <a:extLst>
            <a:ext uri="{FF2B5EF4-FFF2-40B4-BE49-F238E27FC236}">
              <a16:creationId xmlns:a16="http://schemas.microsoft.com/office/drawing/2014/main" id="{00000000-0008-0000-0700-0000DEF25300}"/>
            </a:ext>
          </a:extLst>
        </xdr:cNvPr>
        <xdr:cNvSpPr>
          <a:spLocks noChangeShapeType="1"/>
        </xdr:cNvSpPr>
      </xdr:nvSpPr>
      <xdr:spPr bwMode="auto">
        <a:xfrm>
          <a:off x="14255750" y="2724150"/>
          <a:ext cx="16383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17</xdr:col>
      <xdr:colOff>666750</xdr:colOff>
      <xdr:row>18</xdr:row>
      <xdr:rowOff>69850</xdr:rowOff>
    </xdr:from>
    <xdr:to>
      <xdr:col>19</xdr:col>
      <xdr:colOff>44450</xdr:colOff>
      <xdr:row>18</xdr:row>
      <xdr:rowOff>69850</xdr:rowOff>
    </xdr:to>
    <xdr:sp macro="" textlink="">
      <xdr:nvSpPr>
        <xdr:cNvPr id="5501663" name="Line 291">
          <a:extLst>
            <a:ext uri="{FF2B5EF4-FFF2-40B4-BE49-F238E27FC236}">
              <a16:creationId xmlns:a16="http://schemas.microsoft.com/office/drawing/2014/main" id="{00000000-0008-0000-0700-0000DFF25300}"/>
            </a:ext>
          </a:extLst>
        </xdr:cNvPr>
        <xdr:cNvSpPr>
          <a:spLocks noChangeShapeType="1"/>
        </xdr:cNvSpPr>
      </xdr:nvSpPr>
      <xdr:spPr bwMode="auto">
        <a:xfrm>
          <a:off x="14243050" y="3162300"/>
          <a:ext cx="16510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17</xdr:col>
      <xdr:colOff>946150</xdr:colOff>
      <xdr:row>19</xdr:row>
      <xdr:rowOff>139700</xdr:rowOff>
    </xdr:from>
    <xdr:to>
      <xdr:col>19</xdr:col>
      <xdr:colOff>12700</xdr:colOff>
      <xdr:row>19</xdr:row>
      <xdr:rowOff>139700</xdr:rowOff>
    </xdr:to>
    <xdr:sp macro="" textlink="">
      <xdr:nvSpPr>
        <xdr:cNvPr id="5501664" name="Line 292">
          <a:extLst>
            <a:ext uri="{FF2B5EF4-FFF2-40B4-BE49-F238E27FC236}">
              <a16:creationId xmlns:a16="http://schemas.microsoft.com/office/drawing/2014/main" id="{00000000-0008-0000-0700-0000E0F25300}"/>
            </a:ext>
          </a:extLst>
        </xdr:cNvPr>
        <xdr:cNvSpPr>
          <a:spLocks noChangeShapeType="1"/>
        </xdr:cNvSpPr>
      </xdr:nvSpPr>
      <xdr:spPr bwMode="auto">
        <a:xfrm>
          <a:off x="14522450" y="3397250"/>
          <a:ext cx="133985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17</xdr:col>
      <xdr:colOff>1136650</xdr:colOff>
      <xdr:row>1</xdr:row>
      <xdr:rowOff>0</xdr:rowOff>
    </xdr:from>
    <xdr:to>
      <xdr:col>18</xdr:col>
      <xdr:colOff>0</xdr:colOff>
      <xdr:row>14</xdr:row>
      <xdr:rowOff>127000</xdr:rowOff>
    </xdr:to>
    <xdr:sp macro="" textlink="">
      <xdr:nvSpPr>
        <xdr:cNvPr id="5501665" name="Line 293">
          <a:extLst>
            <a:ext uri="{FF2B5EF4-FFF2-40B4-BE49-F238E27FC236}">
              <a16:creationId xmlns:a16="http://schemas.microsoft.com/office/drawing/2014/main" id="{00000000-0008-0000-0700-0000E1F25300}"/>
            </a:ext>
          </a:extLst>
        </xdr:cNvPr>
        <xdr:cNvSpPr>
          <a:spLocks noChangeShapeType="1"/>
        </xdr:cNvSpPr>
      </xdr:nvSpPr>
      <xdr:spPr bwMode="auto">
        <a:xfrm flipH="1">
          <a:off x="14712950" y="171450"/>
          <a:ext cx="0" cy="23876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18</xdr:col>
      <xdr:colOff>190500</xdr:colOff>
      <xdr:row>1</xdr:row>
      <xdr:rowOff>0</xdr:rowOff>
    </xdr:from>
    <xdr:to>
      <xdr:col>18</xdr:col>
      <xdr:colOff>190500</xdr:colOff>
      <xdr:row>18</xdr:row>
      <xdr:rowOff>69850</xdr:rowOff>
    </xdr:to>
    <xdr:sp macro="" textlink="">
      <xdr:nvSpPr>
        <xdr:cNvPr id="5501666" name="Line 294">
          <a:extLst>
            <a:ext uri="{FF2B5EF4-FFF2-40B4-BE49-F238E27FC236}">
              <a16:creationId xmlns:a16="http://schemas.microsoft.com/office/drawing/2014/main" id="{00000000-0008-0000-0700-0000E2F25300}"/>
            </a:ext>
          </a:extLst>
        </xdr:cNvPr>
        <xdr:cNvSpPr>
          <a:spLocks noChangeShapeType="1"/>
        </xdr:cNvSpPr>
      </xdr:nvSpPr>
      <xdr:spPr bwMode="auto">
        <a:xfrm>
          <a:off x="14903450" y="171450"/>
          <a:ext cx="0" cy="299085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19</xdr:col>
      <xdr:colOff>19050</xdr:colOff>
      <xdr:row>14</xdr:row>
      <xdr:rowOff>127000</xdr:rowOff>
    </xdr:from>
    <xdr:to>
      <xdr:col>19</xdr:col>
      <xdr:colOff>19050</xdr:colOff>
      <xdr:row>15</xdr:row>
      <xdr:rowOff>127000</xdr:rowOff>
    </xdr:to>
    <xdr:sp macro="" textlink="">
      <xdr:nvSpPr>
        <xdr:cNvPr id="5501667" name="Line 295">
          <a:extLst>
            <a:ext uri="{FF2B5EF4-FFF2-40B4-BE49-F238E27FC236}">
              <a16:creationId xmlns:a16="http://schemas.microsoft.com/office/drawing/2014/main" id="{00000000-0008-0000-0700-0000E3F25300}"/>
            </a:ext>
          </a:extLst>
        </xdr:cNvPr>
        <xdr:cNvSpPr>
          <a:spLocks noChangeShapeType="1"/>
        </xdr:cNvSpPr>
      </xdr:nvSpPr>
      <xdr:spPr bwMode="auto">
        <a:xfrm>
          <a:off x="15868650" y="2559050"/>
          <a:ext cx="0" cy="16510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19</xdr:col>
      <xdr:colOff>12700</xdr:colOff>
      <xdr:row>18</xdr:row>
      <xdr:rowOff>69850</xdr:rowOff>
    </xdr:from>
    <xdr:to>
      <xdr:col>19</xdr:col>
      <xdr:colOff>12700</xdr:colOff>
      <xdr:row>19</xdr:row>
      <xdr:rowOff>139700</xdr:rowOff>
    </xdr:to>
    <xdr:sp macro="" textlink="">
      <xdr:nvSpPr>
        <xdr:cNvPr id="5501668" name="Line 296">
          <a:extLst>
            <a:ext uri="{FF2B5EF4-FFF2-40B4-BE49-F238E27FC236}">
              <a16:creationId xmlns:a16="http://schemas.microsoft.com/office/drawing/2014/main" id="{00000000-0008-0000-0700-0000E4F25300}"/>
            </a:ext>
          </a:extLst>
        </xdr:cNvPr>
        <xdr:cNvSpPr>
          <a:spLocks noChangeShapeType="1"/>
        </xdr:cNvSpPr>
      </xdr:nvSpPr>
      <xdr:spPr bwMode="auto">
        <a:xfrm>
          <a:off x="15862300" y="3162300"/>
          <a:ext cx="0" cy="23495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</xdr:spPr>
    </xdr:sp>
    <xdr:clientData/>
  </xdr:twoCellAnchor>
  <xdr:twoCellAnchor>
    <xdr:from>
      <xdr:col>17</xdr:col>
      <xdr:colOff>0</xdr:colOff>
      <xdr:row>11</xdr:row>
      <xdr:rowOff>101600</xdr:rowOff>
    </xdr:from>
    <xdr:to>
      <xdr:col>17</xdr:col>
      <xdr:colOff>838200</xdr:colOff>
      <xdr:row>11</xdr:row>
      <xdr:rowOff>101600</xdr:rowOff>
    </xdr:to>
    <xdr:sp macro="" textlink="">
      <xdr:nvSpPr>
        <xdr:cNvPr id="5501669" name="Line 297">
          <a:extLst>
            <a:ext uri="{FF2B5EF4-FFF2-40B4-BE49-F238E27FC236}">
              <a16:creationId xmlns:a16="http://schemas.microsoft.com/office/drawing/2014/main" id="{00000000-0008-0000-0700-0000E5F25300}"/>
            </a:ext>
          </a:extLst>
        </xdr:cNvPr>
        <xdr:cNvSpPr>
          <a:spLocks noChangeShapeType="1"/>
        </xdr:cNvSpPr>
      </xdr:nvSpPr>
      <xdr:spPr bwMode="auto">
        <a:xfrm>
          <a:off x="13576300" y="2032000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16</xdr:row>
      <xdr:rowOff>69850</xdr:rowOff>
    </xdr:from>
    <xdr:to>
      <xdr:col>17</xdr:col>
      <xdr:colOff>679450</xdr:colOff>
      <xdr:row>16</xdr:row>
      <xdr:rowOff>69850</xdr:rowOff>
    </xdr:to>
    <xdr:sp macro="" textlink="">
      <xdr:nvSpPr>
        <xdr:cNvPr id="5501670" name="Line 298">
          <a:extLst>
            <a:ext uri="{FF2B5EF4-FFF2-40B4-BE49-F238E27FC236}">
              <a16:creationId xmlns:a16="http://schemas.microsoft.com/office/drawing/2014/main" id="{00000000-0008-0000-0700-0000E6F25300}"/>
            </a:ext>
          </a:extLst>
        </xdr:cNvPr>
        <xdr:cNvSpPr>
          <a:spLocks noChangeShapeType="1"/>
        </xdr:cNvSpPr>
      </xdr:nvSpPr>
      <xdr:spPr bwMode="auto">
        <a:xfrm>
          <a:off x="13576300" y="2832100"/>
          <a:ext cx="67945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</xdr:spPr>
    </xdr:sp>
    <xdr:clientData/>
  </xdr:twoCellAnchor>
  <xdr:twoCellAnchor>
    <xdr:from>
      <xdr:col>17</xdr:col>
      <xdr:colOff>514350</xdr:colOff>
      <xdr:row>31</xdr:row>
      <xdr:rowOff>127000</xdr:rowOff>
    </xdr:from>
    <xdr:to>
      <xdr:col>17</xdr:col>
      <xdr:colOff>514350</xdr:colOff>
      <xdr:row>33</xdr:row>
      <xdr:rowOff>95250</xdr:rowOff>
    </xdr:to>
    <xdr:sp macro="" textlink="">
      <xdr:nvSpPr>
        <xdr:cNvPr id="5501671" name="Line 301">
          <a:extLst>
            <a:ext uri="{FF2B5EF4-FFF2-40B4-BE49-F238E27FC236}">
              <a16:creationId xmlns:a16="http://schemas.microsoft.com/office/drawing/2014/main" id="{00000000-0008-0000-0700-0000E7F25300}"/>
            </a:ext>
          </a:extLst>
        </xdr:cNvPr>
        <xdr:cNvSpPr>
          <a:spLocks noChangeShapeType="1"/>
        </xdr:cNvSpPr>
      </xdr:nvSpPr>
      <xdr:spPr bwMode="auto">
        <a:xfrm flipH="1">
          <a:off x="14090650" y="5391150"/>
          <a:ext cx="0" cy="311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2</xdr:row>
      <xdr:rowOff>76200</xdr:rowOff>
    </xdr:from>
    <xdr:to>
      <xdr:col>17</xdr:col>
      <xdr:colOff>152400</xdr:colOff>
      <xdr:row>2</xdr:row>
      <xdr:rowOff>76200</xdr:rowOff>
    </xdr:to>
    <xdr:sp macro="" textlink="">
      <xdr:nvSpPr>
        <xdr:cNvPr id="5501672" name="Line 302">
          <a:extLst>
            <a:ext uri="{FF2B5EF4-FFF2-40B4-BE49-F238E27FC236}">
              <a16:creationId xmlns:a16="http://schemas.microsoft.com/office/drawing/2014/main" id="{00000000-0008-0000-0700-0000E8F25300}"/>
            </a:ext>
          </a:extLst>
        </xdr:cNvPr>
        <xdr:cNvSpPr>
          <a:spLocks noChangeShapeType="1"/>
        </xdr:cNvSpPr>
      </xdr:nvSpPr>
      <xdr:spPr bwMode="auto">
        <a:xfrm>
          <a:off x="13576300" y="4191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1771650</xdr:colOff>
      <xdr:row>10</xdr:row>
      <xdr:rowOff>88900</xdr:rowOff>
    </xdr:from>
    <xdr:to>
      <xdr:col>20</xdr:col>
      <xdr:colOff>0</xdr:colOff>
      <xdr:row>10</xdr:row>
      <xdr:rowOff>88900</xdr:rowOff>
    </xdr:to>
    <xdr:sp macro="" textlink="">
      <xdr:nvSpPr>
        <xdr:cNvPr id="5501673" name="Line 303">
          <a:extLst>
            <a:ext uri="{FF2B5EF4-FFF2-40B4-BE49-F238E27FC236}">
              <a16:creationId xmlns:a16="http://schemas.microsoft.com/office/drawing/2014/main" id="{00000000-0008-0000-0700-0000E9F25300}"/>
            </a:ext>
          </a:extLst>
        </xdr:cNvPr>
        <xdr:cNvSpPr>
          <a:spLocks noChangeShapeType="1"/>
        </xdr:cNvSpPr>
      </xdr:nvSpPr>
      <xdr:spPr bwMode="auto">
        <a:xfrm flipV="1">
          <a:off x="14712950" y="1847850"/>
          <a:ext cx="19494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18</xdr:col>
      <xdr:colOff>190500</xdr:colOff>
      <xdr:row>12</xdr:row>
      <xdr:rowOff>76200</xdr:rowOff>
    </xdr:from>
    <xdr:to>
      <xdr:col>20</xdr:col>
      <xdr:colOff>0</xdr:colOff>
      <xdr:row>12</xdr:row>
      <xdr:rowOff>76200</xdr:rowOff>
    </xdr:to>
    <xdr:sp macro="" textlink="">
      <xdr:nvSpPr>
        <xdr:cNvPr id="5501674" name="Line 304">
          <a:extLst>
            <a:ext uri="{FF2B5EF4-FFF2-40B4-BE49-F238E27FC236}">
              <a16:creationId xmlns:a16="http://schemas.microsoft.com/office/drawing/2014/main" id="{00000000-0008-0000-0700-0000EAF25300}"/>
            </a:ext>
          </a:extLst>
        </xdr:cNvPr>
        <xdr:cNvSpPr>
          <a:spLocks noChangeShapeType="1"/>
        </xdr:cNvSpPr>
      </xdr:nvSpPr>
      <xdr:spPr bwMode="auto">
        <a:xfrm flipV="1">
          <a:off x="14903450" y="2178050"/>
          <a:ext cx="17589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19</xdr:col>
      <xdr:colOff>19050</xdr:colOff>
      <xdr:row>15</xdr:row>
      <xdr:rowOff>44450</xdr:rowOff>
    </xdr:from>
    <xdr:to>
      <xdr:col>19</xdr:col>
      <xdr:colOff>787400</xdr:colOff>
      <xdr:row>15</xdr:row>
      <xdr:rowOff>44450</xdr:rowOff>
    </xdr:to>
    <xdr:sp macro="" textlink="">
      <xdr:nvSpPr>
        <xdr:cNvPr id="5501675" name="Line 305">
          <a:extLst>
            <a:ext uri="{FF2B5EF4-FFF2-40B4-BE49-F238E27FC236}">
              <a16:creationId xmlns:a16="http://schemas.microsoft.com/office/drawing/2014/main" id="{00000000-0008-0000-0700-0000EBF25300}"/>
            </a:ext>
          </a:extLst>
        </xdr:cNvPr>
        <xdr:cNvSpPr>
          <a:spLocks noChangeShapeType="1"/>
        </xdr:cNvSpPr>
      </xdr:nvSpPr>
      <xdr:spPr bwMode="auto">
        <a:xfrm flipV="1">
          <a:off x="15868650" y="2641600"/>
          <a:ext cx="76835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19</xdr:col>
      <xdr:colOff>19050</xdr:colOff>
      <xdr:row>19</xdr:row>
      <xdr:rowOff>25400</xdr:rowOff>
    </xdr:from>
    <xdr:to>
      <xdr:col>19</xdr:col>
      <xdr:colOff>806450</xdr:colOff>
      <xdr:row>19</xdr:row>
      <xdr:rowOff>25400</xdr:rowOff>
    </xdr:to>
    <xdr:sp macro="" textlink="">
      <xdr:nvSpPr>
        <xdr:cNvPr id="5501676" name="Line 308">
          <a:extLst>
            <a:ext uri="{FF2B5EF4-FFF2-40B4-BE49-F238E27FC236}">
              <a16:creationId xmlns:a16="http://schemas.microsoft.com/office/drawing/2014/main" id="{00000000-0008-0000-0700-0000ECF25300}"/>
            </a:ext>
          </a:extLst>
        </xdr:cNvPr>
        <xdr:cNvSpPr>
          <a:spLocks noChangeShapeType="1"/>
        </xdr:cNvSpPr>
      </xdr:nvSpPr>
      <xdr:spPr bwMode="auto">
        <a:xfrm flipH="1" flipV="1">
          <a:off x="15868650" y="3282950"/>
          <a:ext cx="7874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</xdr:spPr>
    </xdr:sp>
    <xdr:clientData/>
  </xdr:twoCellAnchor>
  <xdr:twoCellAnchor>
    <xdr:from>
      <xdr:col>15</xdr:col>
      <xdr:colOff>812800</xdr:colOff>
      <xdr:row>28</xdr:row>
      <xdr:rowOff>88900</xdr:rowOff>
    </xdr:from>
    <xdr:to>
      <xdr:col>16</xdr:col>
      <xdr:colOff>323850</xdr:colOff>
      <xdr:row>28</xdr:row>
      <xdr:rowOff>88900</xdr:rowOff>
    </xdr:to>
    <xdr:sp macro="" textlink="">
      <xdr:nvSpPr>
        <xdr:cNvPr id="5501677" name="Line 310">
          <a:extLst>
            <a:ext uri="{FF2B5EF4-FFF2-40B4-BE49-F238E27FC236}">
              <a16:creationId xmlns:a16="http://schemas.microsoft.com/office/drawing/2014/main" id="{00000000-0008-0000-0700-0000EDF25300}"/>
            </a:ext>
          </a:extLst>
        </xdr:cNvPr>
        <xdr:cNvSpPr>
          <a:spLocks noChangeShapeType="1"/>
        </xdr:cNvSpPr>
      </xdr:nvSpPr>
      <xdr:spPr bwMode="auto">
        <a:xfrm>
          <a:off x="12763500" y="4838700"/>
          <a:ext cx="323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234950</xdr:colOff>
      <xdr:row>27</xdr:row>
      <xdr:rowOff>127000</xdr:rowOff>
    </xdr:from>
    <xdr:to>
      <xdr:col>17</xdr:col>
      <xdr:colOff>69850</xdr:colOff>
      <xdr:row>27</xdr:row>
      <xdr:rowOff>127000</xdr:rowOff>
    </xdr:to>
    <xdr:sp macro="" textlink="">
      <xdr:nvSpPr>
        <xdr:cNvPr id="5501678" name="Line 277">
          <a:extLst>
            <a:ext uri="{FF2B5EF4-FFF2-40B4-BE49-F238E27FC236}">
              <a16:creationId xmlns:a16="http://schemas.microsoft.com/office/drawing/2014/main" id="{00000000-0008-0000-0700-0000EEF25300}"/>
            </a:ext>
          </a:extLst>
        </xdr:cNvPr>
        <xdr:cNvSpPr>
          <a:spLocks noChangeShapeType="1"/>
        </xdr:cNvSpPr>
      </xdr:nvSpPr>
      <xdr:spPr bwMode="auto">
        <a:xfrm>
          <a:off x="12998450" y="4705350"/>
          <a:ext cx="6477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412750</xdr:colOff>
      <xdr:row>28</xdr:row>
      <xdr:rowOff>127000</xdr:rowOff>
    </xdr:from>
    <xdr:to>
      <xdr:col>19</xdr:col>
      <xdr:colOff>82550</xdr:colOff>
      <xdr:row>28</xdr:row>
      <xdr:rowOff>127000</xdr:rowOff>
    </xdr:to>
    <xdr:sp macro="" textlink="">
      <xdr:nvSpPr>
        <xdr:cNvPr id="5501679" name="Line 280">
          <a:extLst>
            <a:ext uri="{FF2B5EF4-FFF2-40B4-BE49-F238E27FC236}">
              <a16:creationId xmlns:a16="http://schemas.microsoft.com/office/drawing/2014/main" id="{00000000-0008-0000-0700-0000EFF25300}"/>
            </a:ext>
          </a:extLst>
        </xdr:cNvPr>
        <xdr:cNvSpPr>
          <a:spLocks noChangeShapeType="1"/>
        </xdr:cNvSpPr>
      </xdr:nvSpPr>
      <xdr:spPr bwMode="auto">
        <a:xfrm flipV="1">
          <a:off x="13989050" y="4876800"/>
          <a:ext cx="19431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165100</xdr:colOff>
      <xdr:row>30</xdr:row>
      <xdr:rowOff>44450</xdr:rowOff>
    </xdr:from>
    <xdr:to>
      <xdr:col>18</xdr:col>
      <xdr:colOff>927100</xdr:colOff>
      <xdr:row>30</xdr:row>
      <xdr:rowOff>44450</xdr:rowOff>
    </xdr:to>
    <xdr:sp macro="" textlink="">
      <xdr:nvSpPr>
        <xdr:cNvPr id="5501680" name="Line 280">
          <a:extLst>
            <a:ext uri="{FF2B5EF4-FFF2-40B4-BE49-F238E27FC236}">
              <a16:creationId xmlns:a16="http://schemas.microsoft.com/office/drawing/2014/main" id="{00000000-0008-0000-0700-0000F0F25300}"/>
            </a:ext>
          </a:extLst>
        </xdr:cNvPr>
        <xdr:cNvSpPr>
          <a:spLocks noChangeShapeType="1"/>
        </xdr:cNvSpPr>
      </xdr:nvSpPr>
      <xdr:spPr bwMode="auto">
        <a:xfrm>
          <a:off x="14878050" y="5137150"/>
          <a:ext cx="7620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1047750</xdr:colOff>
      <xdr:row>20</xdr:row>
      <xdr:rowOff>0</xdr:rowOff>
    </xdr:from>
    <xdr:to>
      <xdr:col>18</xdr:col>
      <xdr:colOff>158750</xdr:colOff>
      <xdr:row>30</xdr:row>
      <xdr:rowOff>44450</xdr:rowOff>
    </xdr:to>
    <xdr:sp macro="" textlink="">
      <xdr:nvSpPr>
        <xdr:cNvPr id="5501681" name="Rectangle 139">
          <a:extLst>
            <a:ext uri="{FF2B5EF4-FFF2-40B4-BE49-F238E27FC236}">
              <a16:creationId xmlns:a16="http://schemas.microsoft.com/office/drawing/2014/main" id="{00000000-0008-0000-0700-0000F1F25300}"/>
            </a:ext>
          </a:extLst>
        </xdr:cNvPr>
        <xdr:cNvSpPr>
          <a:spLocks noChangeArrowheads="1"/>
        </xdr:cNvSpPr>
      </xdr:nvSpPr>
      <xdr:spPr bwMode="auto">
        <a:xfrm>
          <a:off x="14624050" y="3422650"/>
          <a:ext cx="247650" cy="1714500"/>
        </a:xfrm>
        <a:prstGeom prst="rect">
          <a:avLst/>
        </a:prstGeom>
        <a:noFill/>
        <a:ln w="9525" algn="ctr">
          <a:solidFill>
            <a:srgbClr val="00B0F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927100</xdr:colOff>
      <xdr:row>1</xdr:row>
      <xdr:rowOff>12700</xdr:rowOff>
    </xdr:from>
    <xdr:to>
      <xdr:col>18</xdr:col>
      <xdr:colOff>927100</xdr:colOff>
      <xdr:row>29</xdr:row>
      <xdr:rowOff>69850</xdr:rowOff>
    </xdr:to>
    <xdr:sp macro="" textlink="">
      <xdr:nvSpPr>
        <xdr:cNvPr id="5501682" name="Line 270">
          <a:extLst>
            <a:ext uri="{FF2B5EF4-FFF2-40B4-BE49-F238E27FC236}">
              <a16:creationId xmlns:a16="http://schemas.microsoft.com/office/drawing/2014/main" id="{00000000-0008-0000-0700-0000F2F25300}"/>
            </a:ext>
          </a:extLst>
        </xdr:cNvPr>
        <xdr:cNvSpPr>
          <a:spLocks noChangeShapeType="1"/>
        </xdr:cNvSpPr>
      </xdr:nvSpPr>
      <xdr:spPr bwMode="auto">
        <a:xfrm flipH="1">
          <a:off x="15640050" y="184150"/>
          <a:ext cx="0" cy="480695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  <xdr:twoCellAnchor>
    <xdr:from>
      <xdr:col>17</xdr:col>
      <xdr:colOff>12700</xdr:colOff>
      <xdr:row>33</xdr:row>
      <xdr:rowOff>95250</xdr:rowOff>
    </xdr:from>
    <xdr:to>
      <xdr:col>17</xdr:col>
      <xdr:colOff>520700</xdr:colOff>
      <xdr:row>33</xdr:row>
      <xdr:rowOff>95250</xdr:rowOff>
    </xdr:to>
    <xdr:sp macro="" textlink="">
      <xdr:nvSpPr>
        <xdr:cNvPr id="5501683" name="Line 301">
          <a:extLst>
            <a:ext uri="{FF2B5EF4-FFF2-40B4-BE49-F238E27FC236}">
              <a16:creationId xmlns:a16="http://schemas.microsoft.com/office/drawing/2014/main" id="{00000000-0008-0000-0700-0000F3F25300}"/>
            </a:ext>
          </a:extLst>
        </xdr:cNvPr>
        <xdr:cNvSpPr>
          <a:spLocks noChangeShapeType="1"/>
        </xdr:cNvSpPr>
      </xdr:nvSpPr>
      <xdr:spPr bwMode="auto">
        <a:xfrm>
          <a:off x="13589000" y="5702300"/>
          <a:ext cx="508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787400</xdr:colOff>
      <xdr:row>1</xdr:row>
      <xdr:rowOff>19050</xdr:rowOff>
    </xdr:from>
    <xdr:to>
      <xdr:col>18</xdr:col>
      <xdr:colOff>787400</xdr:colOff>
      <xdr:row>30</xdr:row>
      <xdr:rowOff>38100</xdr:rowOff>
    </xdr:to>
    <xdr:sp macro="" textlink="">
      <xdr:nvSpPr>
        <xdr:cNvPr id="5501684" name="Line 270">
          <a:extLst>
            <a:ext uri="{FF2B5EF4-FFF2-40B4-BE49-F238E27FC236}">
              <a16:creationId xmlns:a16="http://schemas.microsoft.com/office/drawing/2014/main" id="{00000000-0008-0000-0700-0000F4F25300}"/>
            </a:ext>
          </a:extLst>
        </xdr:cNvPr>
        <xdr:cNvSpPr>
          <a:spLocks noChangeShapeType="1"/>
        </xdr:cNvSpPr>
      </xdr:nvSpPr>
      <xdr:spPr bwMode="auto">
        <a:xfrm>
          <a:off x="15500350" y="190500"/>
          <a:ext cx="0" cy="49403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omments" Target="../comments1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6.xml"/><Relationship Id="rId5" Type="http://schemas.openxmlformats.org/officeDocument/2006/relationships/ctrlProp" Target="../ctrlProps/ctrlProp15.xml"/><Relationship Id="rId4" Type="http://schemas.openxmlformats.org/officeDocument/2006/relationships/ctrlProp" Target="../ctrlProps/ctrlProp14.xml"/><Relationship Id="rId9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planete-sciences.org/espace/basedoc/" TargetMode="External"/><Relationship Id="rId1" Type="http://schemas.openxmlformats.org/officeDocument/2006/relationships/hyperlink" Target="http://en.wikipedia.org/wiki/Template:Numerical_integrators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3.xml"/><Relationship Id="rId5" Type="http://schemas.openxmlformats.org/officeDocument/2006/relationships/ctrlProp" Target="../ctrlProps/ctrlProp20.xml"/><Relationship Id="rId4" Type="http://schemas.openxmlformats.org/officeDocument/2006/relationships/ctrlProp" Target="../ctrlProps/ctrlProp1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creativecommons.org/licenses/by-sa/3.0/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espace@planete-sciences.org" TargetMode="External"/><Relationship Id="rId1" Type="http://schemas.openxmlformats.org/officeDocument/2006/relationships/hyperlink" Target="http://www.planete-sciences.org/espace/basedoc/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>
    <pageSetUpPr fitToPage="1"/>
  </sheetPr>
  <dimension ref="A1:W361"/>
  <sheetViews>
    <sheetView showGridLines="0" tabSelected="1" zoomScale="85" zoomScaleNormal="85" zoomScaleSheetLayoutView="100" workbookViewId="0">
      <selection activeCell="I41" sqref="I41"/>
    </sheetView>
  </sheetViews>
  <sheetFormatPr baseColWidth="10" defaultColWidth="11.42578125" defaultRowHeight="12.75" x14ac:dyDescent="0.2"/>
  <cols>
    <col min="1" max="1" width="2.140625" style="24" customWidth="1"/>
    <col min="2" max="2" width="16.28515625" style="24" customWidth="1"/>
    <col min="3" max="3" width="12.85546875" style="31" customWidth="1"/>
    <col min="4" max="4" width="12.85546875" style="24" customWidth="1"/>
    <col min="5" max="5" width="4.140625" style="89" customWidth="1"/>
    <col min="6" max="6" width="10.140625" style="26" bestFit="1" customWidth="1"/>
    <col min="7" max="7" width="10" style="26" bestFit="1" customWidth="1"/>
    <col min="8" max="9" width="8.42578125" style="26" customWidth="1"/>
    <col min="10" max="10" width="5.42578125" style="24" customWidth="1"/>
    <col min="11" max="11" width="2.140625" style="24" customWidth="1"/>
    <col min="12" max="12" width="17" style="24" customWidth="1"/>
    <col min="13" max="13" width="8.42578125" style="24" customWidth="1"/>
    <col min="14" max="15" width="4.28515625" style="24" customWidth="1"/>
    <col min="16" max="16" width="8.42578125" style="24" customWidth="1"/>
    <col min="17" max="18" width="2.140625" style="24" customWidth="1"/>
    <col min="19" max="16384" width="11.42578125" style="24"/>
  </cols>
  <sheetData>
    <row r="1" spans="1:20" ht="12.75" customHeight="1" x14ac:dyDescent="0.2">
      <c r="A1" s="19"/>
      <c r="B1" s="20"/>
      <c r="C1" s="21"/>
      <c r="D1" s="20"/>
      <c r="E1" s="88"/>
      <c r="F1" s="22"/>
      <c r="G1" s="22"/>
      <c r="H1" s="22"/>
      <c r="I1" s="22"/>
      <c r="J1" s="20"/>
      <c r="K1" s="20"/>
      <c r="L1" s="20"/>
      <c r="M1" s="20"/>
      <c r="N1" s="20"/>
      <c r="O1" s="20"/>
      <c r="P1" s="20"/>
      <c r="Q1" s="23"/>
    </row>
    <row r="2" spans="1:20" ht="12.75" customHeight="1" x14ac:dyDescent="0.2">
      <c r="A2" s="25"/>
      <c r="C2" s="563" t="s">
        <v>54</v>
      </c>
      <c r="D2" s="563"/>
      <c r="L2" s="147" t="str">
        <f>"Language/Langue"</f>
        <v>Language/Langue</v>
      </c>
      <c r="M2" s="539" t="s">
        <v>1</v>
      </c>
      <c r="N2" s="539"/>
      <c r="O2" s="539"/>
      <c r="P2" s="540"/>
      <c r="Q2" s="27"/>
    </row>
    <row r="3" spans="1:20" ht="12.75" customHeight="1" x14ac:dyDescent="0.2">
      <c r="A3" s="25"/>
      <c r="C3" s="563"/>
      <c r="D3" s="563"/>
      <c r="L3" s="550"/>
      <c r="M3" s="550"/>
      <c r="N3" s="45"/>
      <c r="Q3" s="27"/>
    </row>
    <row r="4" spans="1:20" ht="12.75" customHeight="1" x14ac:dyDescent="0.2">
      <c r="A4" s="25"/>
      <c r="C4" s="564" t="str">
        <f>IF(Lang="Français","Stabilité de fusée à ailerons",IF(Lang="English","Stability for rocket with fins",""))</f>
        <v>Stabilité de fusée à ailerons</v>
      </c>
      <c r="D4" s="564"/>
      <c r="L4" s="33"/>
      <c r="M4" s="539" t="s">
        <v>557</v>
      </c>
      <c r="N4" s="539"/>
      <c r="O4" s="539"/>
      <c r="P4" s="540"/>
      <c r="Q4" s="27"/>
    </row>
    <row r="5" spans="1:20" ht="12.75" customHeight="1" x14ac:dyDescent="0.25">
      <c r="A5" s="25"/>
      <c r="B5" s="28"/>
      <c r="C5" s="578"/>
      <c r="D5" s="578"/>
      <c r="L5" s="33"/>
      <c r="M5" s="570" t="s">
        <v>157</v>
      </c>
      <c r="N5" s="571"/>
      <c r="O5" s="553" t="s">
        <v>158</v>
      </c>
      <c r="P5" s="553"/>
      <c r="Q5" s="29"/>
    </row>
    <row r="6" spans="1:20" ht="12.75" customHeight="1" thickBot="1" x14ac:dyDescent="0.25">
      <c r="A6" s="25"/>
      <c r="B6" s="87"/>
      <c r="C6" s="588" t="str">
        <f>IF(Lang="Français","Remplir les cases jaunes",IF(Lang="English","Fill-in yellow cells only",""))</f>
        <v>Remplir les cases jaunes</v>
      </c>
      <c r="D6" s="588"/>
      <c r="L6" s="139" t="str">
        <f>IF(Lang="Français","Longueur      'L'",IF(Lang="English","Length      'L'",""))</f>
        <v>Longueur      'L'</v>
      </c>
      <c r="M6" s="559">
        <v>50</v>
      </c>
      <c r="N6" s="560"/>
      <c r="O6" s="545">
        <v>50</v>
      </c>
      <c r="P6" s="545"/>
      <c r="Q6" s="29"/>
    </row>
    <row r="7" spans="1:20" ht="12.75" customHeight="1" thickTop="1" thickBot="1" x14ac:dyDescent="0.25">
      <c r="A7" s="25"/>
      <c r="B7" s="31"/>
      <c r="C7" s="566" t="str">
        <f>IF(Lang="Français","Fusée",IF(Lang="English","Rocket",""))</f>
        <v>Fusée</v>
      </c>
      <c r="D7" s="567"/>
      <c r="L7" s="139" t="str">
        <f>IF(Lang="Français","Diamètre     'D1'",IF(Lang="English","Diameter 'D1'",""))</f>
        <v>Diamètre     'D1'</v>
      </c>
      <c r="M7" s="559">
        <v>84</v>
      </c>
      <c r="N7" s="560"/>
      <c r="O7" s="545">
        <v>84</v>
      </c>
      <c r="P7" s="545"/>
      <c r="Q7" s="29"/>
    </row>
    <row r="8" spans="1:20" ht="12.75" customHeight="1" thickTop="1" x14ac:dyDescent="0.2">
      <c r="A8" s="25"/>
      <c r="B8" s="138" t="str">
        <f>IF(Lang="Français","Nom",IF(Lang="English","Name",""))</f>
        <v>Nom</v>
      </c>
      <c r="C8" s="589" t="s">
        <v>559</v>
      </c>
      <c r="D8" s="589"/>
      <c r="E8" s="90"/>
      <c r="K8" s="33"/>
      <c r="L8" s="139" t="str">
        <f>IF(Lang="Français","Diamètre     'D2'",IF(Lang="English","Diameter 'D2'",""))</f>
        <v>Diamètre     'D2'</v>
      </c>
      <c r="M8" s="559">
        <v>104</v>
      </c>
      <c r="N8" s="560"/>
      <c r="O8" s="545">
        <v>104</v>
      </c>
      <c r="P8" s="545"/>
      <c r="Q8" s="29"/>
    </row>
    <row r="9" spans="1:20" ht="12.75" customHeight="1" x14ac:dyDescent="0.2">
      <c r="A9" s="25"/>
      <c r="B9" s="138" t="s">
        <v>4</v>
      </c>
      <c r="C9" s="590" t="s">
        <v>553</v>
      </c>
      <c r="D9" s="590"/>
      <c r="E9" s="90"/>
      <c r="K9" s="33"/>
      <c r="L9" s="139" t="str">
        <f>IF(Lang="Français","Implantation 'x'",IF(Lang="English","Basement 'x'",""))</f>
        <v>Implantation 'x'</v>
      </c>
      <c r="M9" s="559">
        <v>1</v>
      </c>
      <c r="N9" s="560"/>
      <c r="O9" s="545">
        <v>0</v>
      </c>
      <c r="P9" s="545"/>
      <c r="Q9" s="29"/>
    </row>
    <row r="10" spans="1:20" ht="12.75" customHeight="1" x14ac:dyDescent="0.2">
      <c r="A10" s="25"/>
      <c r="B10" s="139" t="s">
        <v>55</v>
      </c>
      <c r="C10" s="568" t="s">
        <v>558</v>
      </c>
      <c r="D10" s="569"/>
      <c r="E10" s="90"/>
      <c r="K10" s="33"/>
      <c r="Q10" s="29"/>
    </row>
    <row r="11" spans="1:20" ht="12.75" customHeight="1" x14ac:dyDescent="0.2">
      <c r="A11" s="25"/>
      <c r="B11" s="139" t="str">
        <f>IF(Lang="Français","Masse",IF(Lang="English","Weight",""))</f>
        <v>Masse</v>
      </c>
      <c r="C11" s="222">
        <f>6200</f>
        <v>6200</v>
      </c>
      <c r="D11" s="34" t="s">
        <v>423</v>
      </c>
      <c r="E11" s="90"/>
      <c r="K11" s="33"/>
      <c r="L11" s="107"/>
      <c r="M11" s="224" t="str">
        <f>IF(Lang="Français","Propu plein",IF(Lang="English","Loaded Motor",""))</f>
        <v>Propu plein</v>
      </c>
      <c r="N11" s="551" t="str">
        <f>IF(Lang="Français","Propu vide",IF(Lang="English","Empty Motor",""))</f>
        <v>Propu vide</v>
      </c>
      <c r="O11" s="552"/>
      <c r="P11" s="224" t="str">
        <f>IF(Lang="Français","Sans propu",IF(Lang="English","Without M",""))</f>
        <v>Sans propu</v>
      </c>
      <c r="Q11" s="29"/>
      <c r="S11" s="385"/>
      <c r="T11" s="386" t="str">
        <f>IF(Lang="Français","Propulseur",IF(Lang="English","Motor",""))</f>
        <v>Propulseur</v>
      </c>
    </row>
    <row r="12" spans="1:20" ht="12.75" customHeight="1" x14ac:dyDescent="0.2">
      <c r="A12" s="25"/>
      <c r="B12" s="139" t="str">
        <f>IF(Lang="Français","Centre de Masse",IF(Lang="English","Center of Mass",""))</f>
        <v>Centre de Masse</v>
      </c>
      <c r="C12" s="35">
        <v>260</v>
      </c>
      <c r="D12" s="34" t="s">
        <v>423</v>
      </c>
      <c r="L12" s="108" t="str">
        <f>IF(Lang="Français","Masse propu",IF(Lang="English","Motor Mass",""))</f>
        <v>Masse propu</v>
      </c>
      <c r="M12" s="109">
        <f ca="1">MpropuPlein</f>
        <v>1.6850000000000001</v>
      </c>
      <c r="N12" s="543">
        <f ca="1">MpropuVide</f>
        <v>0.65200000000000002</v>
      </c>
      <c r="O12" s="544"/>
      <c r="P12" s="110" t="s">
        <v>14</v>
      </c>
      <c r="Q12" s="29"/>
      <c r="S12" s="386" t="str">
        <f>IF(Lang="Français","Haut",IF(Lang="English","Top",""))</f>
        <v>Haut</v>
      </c>
      <c r="T12" s="387">
        <f ca="1">XpropuRef-Long_propu</f>
        <v>547</v>
      </c>
    </row>
    <row r="13" spans="1:20" ht="12.75" customHeight="1" x14ac:dyDescent="0.2">
      <c r="A13" s="25"/>
      <c r="B13" s="139" t="str">
        <f>IF(Lang="Français","Longueur totale",IF(Lang="English","Total length",""))</f>
        <v>Longueur totale</v>
      </c>
      <c r="C13" s="559">
        <v>1035</v>
      </c>
      <c r="D13" s="560"/>
      <c r="L13" s="108" t="str">
        <f>IF(Lang="Français","CdM propu",IF(Lang="English","Motor CoM",""))</f>
        <v>CdM propu</v>
      </c>
      <c r="M13" s="111">
        <f ca="1">XpropuPlein</f>
        <v>250</v>
      </c>
      <c r="N13" s="541">
        <f ca="1">XpropuVide</f>
        <v>240</v>
      </c>
      <c r="O13" s="542"/>
      <c r="P13" s="110" t="s">
        <v>14</v>
      </c>
      <c r="Q13" s="29"/>
      <c r="S13" s="386" t="str">
        <f>IF(Lang="Français","Longueur",IF(Lang="English","Length",""))</f>
        <v>Longueur</v>
      </c>
      <c r="T13" s="387">
        <f ca="1">Long_propu</f>
        <v>488</v>
      </c>
    </row>
    <row r="14" spans="1:20" ht="12.75" customHeight="1" x14ac:dyDescent="0.2">
      <c r="A14" s="25"/>
      <c r="B14" s="139" t="str">
        <f>IF(Lang="Français","Diamètre Réf.",IF(Lang="English","Ref. Diameter",""))</f>
        <v>Diamètre Réf.</v>
      </c>
      <c r="C14" s="559">
        <v>104</v>
      </c>
      <c r="D14" s="560"/>
      <c r="L14" s="108" t="str">
        <f>IF(Lang="Français","Masse fusée",IF(Lang="English","Rocket Mass",""))</f>
        <v>Masse fusée</v>
      </c>
      <c r="M14" s="112">
        <f ca="1">MasseSans+MpropuPlein</f>
        <v>7.8849999999999998</v>
      </c>
      <c r="N14" s="572">
        <f ca="1">MasseSans+MpropuVide</f>
        <v>6.8520000000000003</v>
      </c>
      <c r="O14" s="573"/>
      <c r="P14" s="109">
        <f>IF(OR(D11="sans propu",D11="without motor"),C11/1000,IF(OR(D11="avec propu vide",D11="with empty motor"),C11/1000-MpropuVide,IF(OR(D11="avec propu plein",D11="with loaded motor"),C11/1000-MpropuPlein,"Erreur")))</f>
        <v>6.2</v>
      </c>
      <c r="Q14" s="29"/>
      <c r="S14" s="386" t="str">
        <f>IF(Lang="Français","Bas",IF(Lang="English","Base",""))</f>
        <v>Bas</v>
      </c>
      <c r="T14" s="387">
        <f>XpropuRef</f>
        <v>1035</v>
      </c>
    </row>
    <row r="15" spans="1:20" ht="12.75" customHeight="1" thickBot="1" x14ac:dyDescent="0.25">
      <c r="A15" s="25"/>
      <c r="D15" s="31"/>
      <c r="L15" s="175" t="str">
        <f>IF(Lang="Français","CdM fusée",IF(Lang="English","Rocket CoM",""))</f>
        <v>CdM fusée</v>
      </c>
      <c r="M15" s="176">
        <f ca="1">(XcgSans*MasseSans+(XpropuRef-Long_propu+XpropuPlein)*MpropuPlein)/MassePlein</f>
        <v>374.75523145212424</v>
      </c>
      <c r="N15" s="574">
        <f ca="1">(XcgSans*MasseSans+(XpropuRef-Long_propu+XpropuVide)*MpropuVide)/MasseVide</f>
        <v>310.14652656158779</v>
      </c>
      <c r="O15" s="575"/>
      <c r="P15" s="113">
        <f>IF(OR(D12="sans propu",D12="without motor"),C12,IF(OR(D12="avec propu vide",D12="with empty motor"),(C12*MasseVide-(XpropuRef-Long_propu+XpropuVide)*MpropuVide)/MasseSans,IF(OR(D12="avec propu plein",D12="with loaded motor"),(C12*MassePlein-(XpropuRef-Long_propu+XpropuPlein)*MpropuPlein)/MasseSans,"Erreur")))</f>
        <v>260</v>
      </c>
      <c r="Q15" s="29"/>
    </row>
    <row r="16" spans="1:20" ht="12.75" customHeight="1" thickTop="1" thickBot="1" x14ac:dyDescent="0.25">
      <c r="A16" s="25"/>
      <c r="C16" s="580" t="str">
        <f>IF(Lang="Français","Propulseur",IF(Lang="English","Motor",""))</f>
        <v>Propulseur</v>
      </c>
      <c r="D16" s="581"/>
      <c r="L16" s="94"/>
      <c r="M16" s="94"/>
      <c r="N16" s="94"/>
      <c r="O16" s="94"/>
      <c r="P16" s="94"/>
      <c r="Q16" s="29"/>
      <c r="S16" s="385"/>
      <c r="T16" s="386" t="str">
        <f>IF(RIGHT(Type_masquage,1)=",",IF(Lang="Français","Ailerons","Fins"),IF(Lang="Français","Ailerons bas","Lower Fins"))</f>
        <v>Ailerons bas</v>
      </c>
    </row>
    <row r="17" spans="1:20" ht="12.75" customHeight="1" thickTop="1" x14ac:dyDescent="0.2">
      <c r="A17" s="25"/>
      <c r="B17" s="139" t="s">
        <v>55</v>
      </c>
      <c r="C17" s="582" t="s">
        <v>550</v>
      </c>
      <c r="D17" s="583"/>
      <c r="L17" s="114"/>
      <c r="M17" s="576" t="s">
        <v>56</v>
      </c>
      <c r="N17" s="577"/>
      <c r="O17" s="554" t="s">
        <v>66</v>
      </c>
      <c r="P17" s="554"/>
      <c r="Q17" s="29"/>
      <c r="S17" s="386" t="str">
        <f>IF(Lang="Français","Haut","Top")</f>
        <v>Haut</v>
      </c>
      <c r="T17" s="387">
        <f>X_ail-m_ail</f>
        <v>825</v>
      </c>
    </row>
    <row r="18" spans="1:20" ht="12.75" customHeight="1" x14ac:dyDescent="0.2">
      <c r="A18" s="25"/>
      <c r="B18" s="139" t="str">
        <f>IF(Lang="Français","Position du bas",IF(Lang="English","Basement",""))</f>
        <v>Position du bas</v>
      </c>
      <c r="C18" s="545">
        <f>Long_tot</f>
        <v>1035</v>
      </c>
      <c r="D18" s="545"/>
      <c r="K18" s="37"/>
      <c r="L18" s="108" t="str">
        <f>IF(Lang="Français","Coiffe",IF(Lang="English","Nose Cone",""))</f>
        <v>Coiffe</v>
      </c>
      <c r="M18" s="548">
        <f>IF(LEFT(Forme_ogive,5)="Parab",1/2*Long_ogive,IF(LEFT(Forme_ogive,4)="Ogiv",7/15*Long_ogive,IF(LEFT(Forme_ogive,3)="Con",2/3*Long_ogive)))</f>
        <v>0.66666666666666663</v>
      </c>
      <c r="N18" s="549"/>
      <c r="O18" s="555">
        <f>2*POWER(D_og/D_ref, 2)</f>
        <v>1.304733727810651</v>
      </c>
      <c r="P18" s="555"/>
      <c r="Q18" s="29"/>
      <c r="S18" s="386" t="str">
        <f>IF(Lang="Français","Emplanture","Root edge")</f>
        <v>Emplanture</v>
      </c>
      <c r="T18" s="387">
        <f>m_ail</f>
        <v>190</v>
      </c>
    </row>
    <row r="19" spans="1:20" ht="12.75" customHeight="1" thickBot="1" x14ac:dyDescent="0.25">
      <c r="A19" s="25"/>
      <c r="B19" s="428" t="str">
        <f>IF(Propu="Cariacou","Cariacou :"," ")</f>
        <v xml:space="preserve"> </v>
      </c>
      <c r="C19" s="558" t="str">
        <f>IF(Propu="Pandora (Pro24-6G)",IF(Lang="Français","C'Space Seulement",IF(Lang="English","C'Space only","")),"")</f>
        <v/>
      </c>
      <c r="D19" s="558"/>
      <c r="L19" s="108" t="str">
        <f>IF(Lang="Français","Ailerons",IF(Lang="English","Fins",""))</f>
        <v>Ailerons</v>
      </c>
      <c r="M19" s="548">
        <f>(XCpa*Cnail-0.5*XCpi*Cni)/Cnai</f>
        <v>933.4666666666667</v>
      </c>
      <c r="N19" s="549"/>
      <c r="O19" s="584">
        <f>Cnail-Cni/2</f>
        <v>11.855845691444417</v>
      </c>
      <c r="P19" s="585"/>
      <c r="Q19" s="29"/>
      <c r="S19" s="386" t="str">
        <f>IF(Lang="Français","Bas","Base")</f>
        <v>Bas</v>
      </c>
      <c r="T19" s="387">
        <f>X_ail</f>
        <v>1015</v>
      </c>
    </row>
    <row r="20" spans="1:20" ht="12.75" customHeight="1" thickTop="1" thickBot="1" x14ac:dyDescent="0.25">
      <c r="A20" s="25"/>
      <c r="B20" s="30"/>
      <c r="C20" s="586" t="str">
        <f>IF(Lang="Français","Coiffe",IF(Lang="English","Nose Cone",""))</f>
        <v>Coiffe</v>
      </c>
      <c r="D20" s="587"/>
      <c r="L20" s="108" t="str">
        <f>IF(Lang="Français","Ail bas entier",IF(Lang="English","Total Lower Fins",""))</f>
        <v>Ail bas entier</v>
      </c>
      <c r="M20" s="548">
        <f>X_ail-m_ail+p_ail*(m_ail+2*n_ail)/(3*(m_ail+n_ail))+(m_ail+n_ail-m_ail*n_ail/(m_ail+n_ail))/6</f>
        <v>933.4666666666667</v>
      </c>
      <c r="N20" s="549"/>
      <c r="O20" s="555">
        <f>4*Q_ail*POWER((E_ail/D_ref),2)*(1+D_ail/(2*E_ail+D_ail))/(1+SQRT(1+POWER(2*f_ail/(m_ail+n_ail),2)))</f>
        <v>11.855845691444417</v>
      </c>
      <c r="P20" s="555"/>
      <c r="Q20" s="29"/>
    </row>
    <row r="21" spans="1:20" ht="12.75" customHeight="1" thickTop="1" x14ac:dyDescent="0.2">
      <c r="A21" s="25"/>
      <c r="B21" s="139" t="str">
        <f>IF(Lang="Français","Forme",IF(Lang="English","Shape",""))</f>
        <v>Forme</v>
      </c>
      <c r="C21" s="561" t="s">
        <v>556</v>
      </c>
      <c r="D21" s="562"/>
      <c r="L21" s="108" t="str">
        <f>IF(Lang="Français","Ailerons haut",IF(Lang="English","Upper Fins",""))</f>
        <v>Ailerons haut</v>
      </c>
      <c r="M21" s="548">
        <f>IF(LEFT(Type_masquage,1)="M",0, X_can-m_can+p_can*(m_can+2*n_can)/(3*(m_can+n_can))+(m_can+n_can-m_can*n_can/(m_can+n_can))/6)</f>
        <v>0</v>
      </c>
      <c r="N21" s="549"/>
      <c r="O21" s="555">
        <f>IF(LEFT(Type_masquage,1)="M",0, 4*Q_can*POWER((E_can/D_ref),2)*(1+D_can/(2*E_can+D_can))/(1+SQRT(1+POWER(2*f_can/(m_can+n_can),2))))</f>
        <v>0</v>
      </c>
      <c r="P21" s="555"/>
      <c r="Q21" s="29"/>
    </row>
    <row r="22" spans="1:20" ht="12.75" customHeight="1" x14ac:dyDescent="0.2">
      <c r="A22" s="25"/>
      <c r="B22" s="139" t="str">
        <f>IF(Lang="Français","Hauteur",IF(Lang="English","Heigth",""))</f>
        <v>Hauteur</v>
      </c>
      <c r="C22" s="559">
        <v>1</v>
      </c>
      <c r="D22" s="560"/>
      <c r="L22" s="108" t="str">
        <f>IF(Lang="Français","Partie masquée",IF(Lang="English","Interation zone",""))</f>
        <v>Partie masquée</v>
      </c>
      <c r="M22" s="565">
        <f>IF(LEFT(Type_masquage,1)="B", X_int-m_int+p_int*(m_int+2*n_int)/(3*(m_int+n_int))+(m_int+n_int-m_int*n_int/(m_int+n_int))/6, 0 )</f>
        <v>0</v>
      </c>
      <c r="N22" s="565"/>
      <c r="O22" s="584">
        <f>IF(LEFT(Type_masquage,1)="B", 4*Q_int*POWER((E_int/D_ref),2)*(1+D_int/(2*E_int+D_int))/(1+SQRT(1+POWER(2*f_int/(m_int+n_int),2))), 0 )</f>
        <v>0</v>
      </c>
      <c r="P22" s="585"/>
      <c r="Q22" s="29"/>
    </row>
    <row r="23" spans="1:20" ht="12.75" customHeight="1" x14ac:dyDescent="0.2">
      <c r="A23" s="25"/>
      <c r="B23" s="139" t="str">
        <f>IF(Lang="Français","Diamètre",IF(Lang="English","Diameter",""))</f>
        <v>Diamètre</v>
      </c>
      <c r="C23" s="559">
        <v>84</v>
      </c>
      <c r="D23" s="560"/>
      <c r="L23" s="108" t="s">
        <v>157</v>
      </c>
      <c r="M23" s="548">
        <f>IF(OR(RIGHT(Nb_diam,1)=",",D2j=0),0, X_j+l_j/3*(1+1/(1+D1j/D2j)) )</f>
        <v>26.886524822695041</v>
      </c>
      <c r="N23" s="549"/>
      <c r="O23" s="555">
        <f>IF(OR(RIGHT(Nb_diam,1)=",",D2j=0),0,2*(POWER(D2j/D_ref,2)-POWER(D1j/D_ref,2)))</f>
        <v>0.695266272189349</v>
      </c>
      <c r="P23" s="555"/>
      <c r="Q23" s="29"/>
    </row>
    <row r="24" spans="1:20" ht="12.75" customHeight="1" thickBot="1" x14ac:dyDescent="0.25">
      <c r="A24" s="25"/>
      <c r="L24" s="108" t="s">
        <v>158</v>
      </c>
      <c r="M24" s="548">
        <f>IF( OR(RIGHT(Nb_diam,1)=",",D2r=0), 0, X_r+l_r/3*(1+1/(1+D1r/D2r)) )</f>
        <v>25.886524822695041</v>
      </c>
      <c r="N24" s="549"/>
      <c r="O24" s="555">
        <f>IF( OR(RIGHT(Nb_diam,1)=",",D2r=0), 0, 2*(POWER(D2r/D_ref,2)-POWER(D1r/D_ref,2)) )</f>
        <v>0.695266272189349</v>
      </c>
      <c r="P24" s="555"/>
      <c r="Q24" s="29"/>
    </row>
    <row r="25" spans="1:20" ht="12.75" customHeight="1" thickTop="1" thickBot="1" x14ac:dyDescent="0.25">
      <c r="A25" s="25"/>
      <c r="B25" s="30"/>
      <c r="C25" s="178" t="str">
        <f>IF(LEFT(Type_masquage,1)="M",IF(Lang="Français","Ailerons","Fins"),IF(Lang="Français","Ailerons bas","Lower Fins"))</f>
        <v>Ailerons</v>
      </c>
      <c r="D25" s="179" t="str">
        <f>IF(Lang="Français","Ailerons haut",IF(Lang="English","Upper Fins",""))</f>
        <v>Ailerons haut</v>
      </c>
      <c r="E25" s="180" t="s">
        <v>152</v>
      </c>
      <c r="L25" s="38"/>
      <c r="M25" s="38"/>
      <c r="N25" s="38"/>
      <c r="Q25" s="29"/>
      <c r="R25" s="38"/>
      <c r="S25" s="388" t="str">
        <f ca="1">IF(AND(Portee_balistique&gt;200,LEFT(Type_propu,3)="Min"),IF(Lang="Français","Fusée trop lègère !","Rocket too light"),"")</f>
        <v/>
      </c>
    </row>
    <row r="26" spans="1:20" ht="12.75" customHeight="1" thickTop="1" x14ac:dyDescent="0.2">
      <c r="A26" s="25"/>
      <c r="B26" s="30"/>
      <c r="C26" s="556" t="s">
        <v>424</v>
      </c>
      <c r="D26" s="557"/>
      <c r="F26" s="39">
        <f ca="1">TODAY()</f>
        <v>45781</v>
      </c>
      <c r="G26" s="137" t="s">
        <v>63</v>
      </c>
      <c r="H26" s="579" t="str">
        <f>IF(Lang="Français","Résultats",IF(Lang="English","Results",""))</f>
        <v>Résultats</v>
      </c>
      <c r="I26" s="579"/>
      <c r="J26" s="137" t="s">
        <v>64</v>
      </c>
      <c r="K26" s="32"/>
      <c r="L26" s="38"/>
      <c r="M26" s="38"/>
      <c r="N26" s="38"/>
      <c r="Q26" s="29"/>
      <c r="R26" s="38"/>
      <c r="S26" s="388" t="str">
        <f ca="1">IF(AND(Vsortie_de_rampe&lt;18, OR(LEFT(Type_fusee,1)=",",LEFT(Type_fusee,4)="Mini",LEFT(Type_fusee,1)="R")),IF(Lang="Français","Fusée trop lourde ou rampe trop courte !","Rocket too heavy or launch pad too small!"),"")</f>
        <v/>
      </c>
    </row>
    <row r="27" spans="1:20" ht="12.75" customHeight="1" x14ac:dyDescent="0.2">
      <c r="A27" s="25"/>
      <c r="B27" s="526" t="str">
        <f>IF(Lang="Français"," Emplanture  'm'",IF(Lang="English"," Root edge  'm'",""))</f>
        <v xml:space="preserve"> Emplanture  'm'</v>
      </c>
      <c r="C27" s="177">
        <v>190</v>
      </c>
      <c r="D27" s="177">
        <v>70</v>
      </c>
      <c r="E27" s="146">
        <f>m_ail</f>
        <v>190</v>
      </c>
      <c r="F27" s="105" t="s">
        <v>65</v>
      </c>
      <c r="G27" s="104">
        <f>IF(RIGHT(Type_fusee,1)=".",10, IF(OR(LEFT(Type_fusee,1)="R",LEFT(Type_fusee,1)=",",LEFT(Type_fusee,4)="Mini"),10, IF(LEFT(Type_fusee,5)="Micro",10, IF(RIGHT(Type_fusee,1)=" ",1))))</f>
        <v>10</v>
      </c>
      <c r="H27" s="546">
        <f>Long_tot/D_ref</f>
        <v>9.9519230769230766</v>
      </c>
      <c r="I27" s="547"/>
      <c r="J27" s="104">
        <f>IF(RIGHT(Type_fusee,1)=".",35, IF(OR(LEFT(Type_fusee,1)="R",LEFT(Type_fusee,1)=",",LEFT(Type_fusee,4)="Mini"),20, IF(LEFT(Type_fusee,5)="Micro",30, IF(RIGHT(Type_fusee,1)=" ",100))))</f>
        <v>35</v>
      </c>
      <c r="K27" s="32"/>
      <c r="L27" s="38"/>
      <c r="M27" s="38"/>
      <c r="N27" s="38"/>
      <c r="Q27" s="29"/>
      <c r="R27" s="38"/>
      <c r="S27" s="388" t="str">
        <f>IF(Finesse&lt;CritFinessemin, IF(Lang="Français","Fusée trop courte !","Rocket too short!"), "" ) &amp; IF(Finesse&gt;CritFinessemax, IF(Lang="Français","Fusée trop longue !","Rocket too long!"), "" )</f>
        <v>Fusée trop courte !</v>
      </c>
    </row>
    <row r="28" spans="1:20" ht="12.75" customHeight="1" x14ac:dyDescent="0.2">
      <c r="A28" s="25"/>
      <c r="B28" s="526" t="str">
        <f>IF(Lang="Français"," Saumon       'n'",IF(Lang="English"," Tip edge    'n'",""))</f>
        <v xml:space="preserve"> Saumon       'n'</v>
      </c>
      <c r="C28" s="35">
        <v>60</v>
      </c>
      <c r="D28" s="35">
        <v>10</v>
      </c>
      <c r="E28" s="146">
        <f>n_ail+(m_ail-n_ail)*(1-E_int/E_ail)</f>
        <v>140</v>
      </c>
      <c r="F28" s="105" t="str">
        <f>IF(Lang="Français","Portance","Lift")</f>
        <v>Portance</v>
      </c>
      <c r="G28" s="104">
        <f>IF(RIGHT(Type_fusee,1)=".",15,IF(OR(LEFT(Type_fusee,1)="R",LEFT(Type_fusee,1)=",",LEFT(Type_fusee,4)="Mini"),15, IF(LEFT(Type_fusee,5)="Micro",15, IF(RIGHT(Type_fusee,1)=" ",15))))</f>
        <v>15</v>
      </c>
      <c r="H28" s="510">
        <f>Cnai+Cnc+Cno+Cnj+Cnr</f>
        <v>14.551111963633765</v>
      </c>
      <c r="I28" s="510">
        <f>Cnail+Cnc+Cno+Cnj+Cnr</f>
        <v>14.551111963633765</v>
      </c>
      <c r="J28" s="104">
        <f>IF(RIGHT(Type_fusee,1)=".",40, IF(OR(LEFT(Type_fusee,1)="R",LEFT(Type_fusee,1)=",",LEFT(Type_fusee,4)="Mini"),30, IF(LEFT(Type_fusee,5)="Micro",30, IF(RIGHT(Type_fusee,1)=" ",30))))</f>
        <v>40</v>
      </c>
      <c r="K28" s="32"/>
      <c r="L28" s="38"/>
      <c r="M28" s="38"/>
      <c r="N28" s="38"/>
      <c r="Q28" s="29"/>
      <c r="R28" s="38"/>
      <c r="S28" s="388" t="str">
        <f>IF(Cn&lt;CritCnmin, IF(Lang="Français","Ailerons trop petits !","Fins too small!"), "" ) &amp; IF(Cn&gt;CritCnmax, IF(Lang="Français","Ailerons trop grands !","Fins too big!"), "" )</f>
        <v>Ailerons trop petits !</v>
      </c>
    </row>
    <row r="29" spans="1:20" ht="12.75" customHeight="1" x14ac:dyDescent="0.2">
      <c r="A29" s="25"/>
      <c r="B29" s="526" t="str">
        <f>IF(Lang="Français"," Flèche          'p'"," Offset         'p'")</f>
        <v xml:space="preserve"> Flèche          'p'</v>
      </c>
      <c r="C29" s="35">
        <v>180</v>
      </c>
      <c r="D29" s="35">
        <v>40</v>
      </c>
      <c r="E29" s="146">
        <f>p_ail*E_int/E_ail</f>
        <v>69.230769230769226</v>
      </c>
      <c r="F29" s="517" t="str">
        <f>IF(Lang="Français","MargeStat.","StatMargin")</f>
        <v>MargeStat.</v>
      </c>
      <c r="G29" s="512">
        <f>IF(RIGHT(Type_fusee,1)=".",2, IF(OR(LEFT(Type_fusee,1)="R",LEFT(Type_fusee,1)=",",LEFT(Type_fusee,4)="Mini"),1.5, IF(LEFT(Type_fusee,5)="Micro",1, IF(RIGHT(Type_fusee,1)=" ",1))))</f>
        <v>2</v>
      </c>
      <c r="H29" s="97">
        <f ca="1">(XCp-XcgPlein)/D_ref</f>
        <v>3.7345101082296499</v>
      </c>
      <c r="I29" s="98">
        <f ca="1">(XCp0-XcgVide)/D_ref</f>
        <v>4.3557476552540386</v>
      </c>
      <c r="J29" s="512">
        <f>IF(RIGHT(Type_fusee,1)=".",6, IF(OR(LEFT(Type_fusee,1)="R",LEFT(Type_fusee,1)=",",LEFT(Type_fusee,4)="Mini"),6, IF(LEFT(Type_fusee,5)="Micro",3, IF(RIGHT(Type_fusee,1)=" ",3))))</f>
        <v>6</v>
      </c>
      <c r="K29" s="32"/>
      <c r="Q29" s="29"/>
      <c r="R29" s="38"/>
      <c r="S29" s="388" t="str">
        <f ca="1">IF(MS_min&lt;CritMsmin, IF(Lang="Français","Abaisser les ailerons ou rehausser le CdM !","Lower the fins or move up the center of mass!"), "" ) &amp; IF(MS_max&gt;CritMsmax, IF(Lang="Français","Rehausser les ailerons ou abaisser le CdM !","Move up the fins or lower the center of mass!"), "" )</f>
        <v/>
      </c>
    </row>
    <row r="30" spans="1:20" ht="12.75" customHeight="1" x14ac:dyDescent="0.2">
      <c r="A30" s="25"/>
      <c r="B30" s="526" t="str">
        <f>IF(Lang="Français"," Envergure     'E'",IF(Lang="English"," Span          'E'",""))</f>
        <v xml:space="preserve"> Envergure     'E'</v>
      </c>
      <c r="C30" s="35">
        <v>130</v>
      </c>
      <c r="D30" s="35">
        <v>50</v>
      </c>
      <c r="E30" s="146">
        <f>IF(D_can/2+E_can&lt;=D_ail/2,0, IF(D_can/2+E_can&gt;=D_ail/2+E_ail,E_ail,  D_can/2+E_can - D_ail/2  ) )</f>
        <v>50</v>
      </c>
      <c r="F30" s="518" t="str">
        <f>IF(Lang="Français","Couple","Torque")</f>
        <v>Couple</v>
      </c>
      <c r="G30" s="513">
        <f>IF(RIGHT(Type_fusee,1)=".",40, IF(OR(LEFT(Type_fusee,1)="R",LEFT(Type_fusee,1)=",",LEFT(Type_fusee,4)="Mini"),30, IF(LEFT(Type_fusee,5)="Micro",15, IF(RIGHT(Type_fusee,1)=" ",15))))</f>
        <v>40</v>
      </c>
      <c r="H30" s="99">
        <f ca="1">MS_min*Cn</f>
        <v>54.341274714171689</v>
      </c>
      <c r="I30" s="96">
        <f ca="1">MS_max*Cn0</f>
        <v>63.380971816936764</v>
      </c>
      <c r="J30" s="513">
        <f>IF(RIGHT(Type_fusee,1)=".",100, IF(OR(LEFT(Type_fusee,1)="R",LEFT(Type_fusee,1)=",",LEFT(Type_fusee,4)="Mini"),100, IF(LEFT(Type_fusee,5)="Micro",100, IF(RIGHT(Type_fusee,1)=" ",90))))</f>
        <v>100</v>
      </c>
      <c r="K30" s="32"/>
      <c r="Q30" s="29"/>
      <c r="R30" s="38"/>
      <c r="S30" s="388" t="str">
        <f ca="1">IF(MS_Cn_min&lt;CritMsCnmin, IF(Lang="Français","Ailerons trop petits ou trop haut /CdM !","Fins too small or too high /CoM!"), "" ) &amp; IF(MS_Cn_max&gt;CritMsCnmax, IF(Lang="Français","Ailerons trop grands ou trop bas  /CdM !","Fins too big or too low / CoM!"), "" )</f>
        <v/>
      </c>
    </row>
    <row r="31" spans="1:20" ht="12.75" customHeight="1" x14ac:dyDescent="0.2">
      <c r="A31" s="25"/>
      <c r="B31" s="527" t="str">
        <f>IF(Lang="Français"," Epaisseur     'ep'",IF(Lang="English"," Thickness  'ep'",""))</f>
        <v xml:space="preserve"> Epaisseur     'ep'</v>
      </c>
      <c r="C31" s="35">
        <v>3</v>
      </c>
      <c r="D31" s="35">
        <v>2</v>
      </c>
      <c r="E31" s="146">
        <f>ep_ail</f>
        <v>3</v>
      </c>
      <c r="F31" s="106" t="s">
        <v>56</v>
      </c>
      <c r="G31" s="103"/>
      <c r="H31" s="511">
        <f>(Cnai*XCpai+Cnc*XCpc+Cnj*XCpj+Cnr*XCpr+Cno*XCpo)/(Cnai+Cnc+Cnr+Cnj+Cno)</f>
        <v>763.14428270800784</v>
      </c>
      <c r="I31" s="511">
        <f>(Cnail*XCpa+Cnc*XCpc+Cnj*XCpj+Cnr*XCpr+Cno*XCpo)/(Cnail+Cnc+Cnr+Cnj+Cno)</f>
        <v>763.14428270800784</v>
      </c>
      <c r="J31" s="102"/>
      <c r="K31" s="32"/>
      <c r="Q31" s="29"/>
      <c r="R31" s="38"/>
      <c r="S31" s="388"/>
    </row>
    <row r="32" spans="1:20" ht="12.75" customHeight="1" x14ac:dyDescent="0.2">
      <c r="A32" s="25"/>
      <c r="B32" s="526" t="str">
        <f>IF(Lang="Français"," Nombre            ",IF(Lang="English"," Number of fins",""))</f>
        <v xml:space="preserve"> Nombre            </v>
      </c>
      <c r="C32" s="36">
        <v>4</v>
      </c>
      <c r="D32" s="36">
        <v>4</v>
      </c>
      <c r="E32" s="146">
        <f>IF(Q_ail=Q_can,Q_ail,FALSE)</f>
        <v>4</v>
      </c>
      <c r="F32" s="106" t="s">
        <v>67</v>
      </c>
      <c r="G32" s="103"/>
      <c r="H32" s="100">
        <f ca="1">(XCp-XcgPlein)/Long_tot*100</f>
        <v>37.525512198636093</v>
      </c>
      <c r="I32" s="101">
        <f ca="1">(XCp-XcgVide)/Long_tot*100</f>
        <v>43.767899144581648</v>
      </c>
      <c r="J32" s="102"/>
      <c r="K32" s="32"/>
      <c r="Q32" s="29"/>
      <c r="R32" s="38"/>
    </row>
    <row r="33" spans="1:23" ht="12.75" customHeight="1" x14ac:dyDescent="0.2">
      <c r="A33" s="25"/>
      <c r="B33" s="526" t="str">
        <f>IF(Lang="Français"," Position du bas",IF(Lang="English"," Basement",""))</f>
        <v xml:space="preserve"> Position du bas</v>
      </c>
      <c r="C33" s="35">
        <f>Long_tot-20</f>
        <v>1015</v>
      </c>
      <c r="D33" s="35">
        <v>700</v>
      </c>
      <c r="E33" s="146">
        <f>X_ail</f>
        <v>1015</v>
      </c>
      <c r="G33" s="24"/>
      <c r="H33" s="535" t="str">
        <f ca="1">IF(AND(CritCnmin&lt;Cn,Cn0&lt;CritCnmax,CritMsmin&lt;MS_min,MS_max&lt;CritMsmax,CritMsCnmin&lt;MS_Cn_min,MS_Cn_max&lt;CritMsCnmax),"STABLE",IF(OR(Cn&lt;CritCnmin,MS_min&lt;CritMsmin,MS_Cn_min&lt;CritMsCnmin),"INSTABLE",IF(Lang="Français","SURSTABLE","OVERSTABLE")))</f>
        <v>INSTABLE</v>
      </c>
      <c r="I33" s="536"/>
      <c r="J33" s="31"/>
      <c r="K33" s="32"/>
      <c r="Q33" s="29"/>
      <c r="R33" s="38"/>
    </row>
    <row r="34" spans="1:23" ht="12.75" customHeight="1" x14ac:dyDescent="0.2">
      <c r="A34" s="25"/>
      <c r="B34" s="526" t="str">
        <f>IF(Lang="Français"," Diamètre         ",IF(Lang="English"," Diameter at Fins",""))</f>
        <v xml:space="preserve"> Diamètre         </v>
      </c>
      <c r="C34" s="35">
        <f>D_ref</f>
        <v>104</v>
      </c>
      <c r="D34" s="35">
        <f>D_ref</f>
        <v>104</v>
      </c>
      <c r="E34" s="146">
        <f>D_ail</f>
        <v>104</v>
      </c>
      <c r="G34" s="24"/>
      <c r="H34" s="537"/>
      <c r="I34" s="538"/>
      <c r="K34" s="32"/>
      <c r="Q34" s="29"/>
      <c r="R34" s="38"/>
    </row>
    <row r="35" spans="1:23" ht="12.75" customHeight="1" x14ac:dyDescent="0.2">
      <c r="A35" s="25"/>
      <c r="B35" s="526" t="str">
        <f>IF(Lang="Français"," Ligne mi-corde f",IF(Lang="English"," Mid-chord line f",""))</f>
        <v xml:space="preserve"> Ligne mi-corde f</v>
      </c>
      <c r="C35" s="145">
        <f>SQRT(POWER(p_ail+n_ail/2-m_ail/2,2)+POWER(E_ail,2))</f>
        <v>173.56554957709781</v>
      </c>
      <c r="D35" s="145">
        <f>SQRT(POWER(p_can+n_can/2-m_can/2,2)+POWER(E_can,2))</f>
        <v>50.990195135927848</v>
      </c>
      <c r="E35" s="146">
        <f>SQRT(POWER(p_int+n_int/2-m_int/2,2)+POWER(E_int,2))</f>
        <v>66.755980606576074</v>
      </c>
      <c r="K35" s="32"/>
      <c r="Q35" s="29"/>
      <c r="R35" s="38"/>
      <c r="W35" s="24" t="str">
        <f>RIGHT(Type_fusee,1="R")</f>
        <v/>
      </c>
    </row>
    <row r="36" spans="1:23" ht="12.75" customHeight="1" thickBot="1" x14ac:dyDescent="0.25">
      <c r="A36" s="40"/>
      <c r="B36" s="182" t="str">
        <f>IF(Lang="Français","Commentaire libre :",IF(Lang="English","Free comment:",""))</f>
        <v>Commentaire libre :</v>
      </c>
      <c r="C36" s="41"/>
      <c r="D36" s="42"/>
      <c r="E36" s="91"/>
      <c r="F36" s="67"/>
      <c r="G36" s="67"/>
      <c r="H36" s="67"/>
      <c r="I36" s="67"/>
      <c r="J36" s="42"/>
      <c r="K36" s="42"/>
      <c r="L36" s="389" t="s">
        <v>269</v>
      </c>
      <c r="M36" s="392" t="str">
        <f>IF(ROUND(SUM(Propu!5:1228),0)=395253,"propu OK","propu NOK")</f>
        <v>propu OK</v>
      </c>
      <c r="N36" s="391" t="str">
        <f>IF(Lang="Français","fichier initial","Initial file")</f>
        <v>fichier initial</v>
      </c>
      <c r="O36" s="392"/>
      <c r="P36" s="390"/>
      <c r="Q36" s="291" t="s">
        <v>544</v>
      </c>
      <c r="R36" s="38"/>
    </row>
    <row r="37" spans="1:23" ht="12.75" customHeight="1" x14ac:dyDescent="0.2">
      <c r="R37" s="43"/>
    </row>
    <row r="38" spans="1:23" x14ac:dyDescent="0.2">
      <c r="L38" s="226" t="str">
        <f>IF(Lang="Français","Maintenant que votre fusée est stable, vérifiez sa trajectoire via la feuille","Now your rocket is stable, check its trajectory on sheet")</f>
        <v>Maintenant que votre fusée est stable, vérifiez sa trajectoire via la feuille</v>
      </c>
      <c r="M38" s="483" t="s">
        <v>181</v>
      </c>
    </row>
    <row r="39" spans="1:23" x14ac:dyDescent="0.2">
      <c r="H39" s="87"/>
      <c r="O39" s="26"/>
      <c r="P39" s="26"/>
    </row>
    <row r="40" spans="1:23" x14ac:dyDescent="0.2">
      <c r="F40" s="24"/>
      <c r="H40" s="43"/>
      <c r="I40" s="44"/>
      <c r="J40" s="43"/>
      <c r="N40" s="43"/>
      <c r="Q40" s="43"/>
      <c r="S40" s="508"/>
    </row>
    <row r="41" spans="1:23" x14ac:dyDescent="0.2">
      <c r="F41" s="24"/>
      <c r="G41" s="505"/>
      <c r="H41" s="506"/>
      <c r="I41" s="44"/>
      <c r="J41" s="43"/>
      <c r="N41" s="43"/>
      <c r="Q41" s="43"/>
      <c r="R41" s="43"/>
    </row>
    <row r="42" spans="1:23" x14ac:dyDescent="0.2">
      <c r="F42" s="24"/>
      <c r="H42" s="43"/>
      <c r="I42" s="44"/>
      <c r="J42" s="43"/>
      <c r="N42" s="43"/>
      <c r="Q42" s="43"/>
      <c r="R42" s="43"/>
    </row>
    <row r="43" spans="1:23" x14ac:dyDescent="0.2">
      <c r="F43" s="24"/>
      <c r="H43" s="43"/>
      <c r="I43" s="44"/>
      <c r="J43" s="43"/>
      <c r="N43" s="43"/>
      <c r="Q43" s="43"/>
      <c r="R43" s="43"/>
    </row>
    <row r="44" spans="1:23" x14ac:dyDescent="0.2">
      <c r="F44" s="24"/>
      <c r="H44" s="43"/>
      <c r="I44" s="44"/>
      <c r="J44" s="43"/>
      <c r="N44" s="43"/>
      <c r="Q44" s="43"/>
      <c r="R44" s="43"/>
    </row>
    <row r="45" spans="1:23" x14ac:dyDescent="0.2">
      <c r="F45" s="24"/>
      <c r="H45" s="43"/>
      <c r="I45" s="44"/>
      <c r="J45" s="43"/>
      <c r="N45" s="43"/>
      <c r="Q45" s="43"/>
      <c r="R45" s="43"/>
    </row>
    <row r="46" spans="1:23" x14ac:dyDescent="0.2">
      <c r="F46" s="24"/>
      <c r="H46" s="43"/>
      <c r="I46" s="44"/>
      <c r="J46" s="43"/>
      <c r="L46" s="43"/>
      <c r="M46" s="43"/>
      <c r="N46" s="43"/>
      <c r="Q46" s="43"/>
      <c r="R46" s="43"/>
    </row>
    <row r="47" spans="1:23" x14ac:dyDescent="0.2">
      <c r="F47" s="24"/>
      <c r="H47" s="43"/>
      <c r="I47" s="44"/>
      <c r="J47" s="43"/>
      <c r="L47" s="43"/>
      <c r="M47" s="43"/>
      <c r="N47" s="43"/>
      <c r="Q47" s="43"/>
      <c r="R47" s="43"/>
    </row>
    <row r="48" spans="1:23" x14ac:dyDescent="0.2">
      <c r="F48" s="24"/>
      <c r="H48" s="43"/>
      <c r="I48" s="44"/>
      <c r="J48" s="43"/>
      <c r="L48" s="43"/>
      <c r="M48" s="43"/>
      <c r="N48" s="43"/>
      <c r="Q48" s="43"/>
      <c r="R48" s="43"/>
    </row>
    <row r="49" spans="2:18" x14ac:dyDescent="0.2">
      <c r="F49" s="24"/>
      <c r="H49" s="43"/>
      <c r="I49" s="44"/>
      <c r="J49" s="43"/>
      <c r="L49" s="43"/>
      <c r="M49" s="43"/>
      <c r="N49" s="43"/>
      <c r="Q49" s="43"/>
      <c r="R49" s="43"/>
    </row>
    <row r="50" spans="2:18" x14ac:dyDescent="0.2">
      <c r="F50" s="24"/>
      <c r="H50" s="43"/>
      <c r="I50" s="44"/>
      <c r="J50" s="43"/>
      <c r="L50" s="43"/>
      <c r="M50" s="43"/>
      <c r="N50" s="43"/>
      <c r="Q50" s="43"/>
      <c r="R50" s="43"/>
    </row>
    <row r="51" spans="2:18" x14ac:dyDescent="0.2">
      <c r="F51" s="24"/>
      <c r="H51" s="43"/>
      <c r="I51" s="44"/>
      <c r="J51" s="43"/>
      <c r="L51" s="43"/>
      <c r="M51" s="43"/>
      <c r="N51" s="43"/>
      <c r="Q51" s="43"/>
      <c r="R51" s="43"/>
    </row>
    <row r="52" spans="2:18" x14ac:dyDescent="0.2">
      <c r="H52" s="43"/>
      <c r="I52" s="44"/>
      <c r="J52" s="43"/>
      <c r="L52" s="43"/>
      <c r="M52" s="43"/>
      <c r="N52" s="43"/>
      <c r="Q52" s="43"/>
      <c r="R52" s="43"/>
    </row>
    <row r="53" spans="2:18" x14ac:dyDescent="0.2">
      <c r="H53" s="43"/>
      <c r="I53" s="44"/>
      <c r="J53" s="43"/>
      <c r="L53" s="43"/>
      <c r="M53" s="43"/>
      <c r="N53" s="43"/>
      <c r="Q53" s="43"/>
      <c r="R53" s="43"/>
    </row>
    <row r="54" spans="2:18" x14ac:dyDescent="0.2">
      <c r="H54" s="43"/>
      <c r="I54" s="44"/>
      <c r="J54" s="43"/>
      <c r="L54" s="43"/>
      <c r="M54" s="43"/>
      <c r="N54" s="43"/>
      <c r="Q54" s="43"/>
      <c r="R54" s="43"/>
    </row>
    <row r="55" spans="2:18" x14ac:dyDescent="0.2">
      <c r="H55" s="43"/>
      <c r="I55" s="44"/>
      <c r="J55" s="43"/>
      <c r="L55" s="43"/>
      <c r="M55" s="43"/>
      <c r="N55" s="43"/>
      <c r="Q55" s="43"/>
      <c r="R55" s="43"/>
    </row>
    <row r="56" spans="2:18" x14ac:dyDescent="0.2">
      <c r="C56" s="24"/>
      <c r="H56" s="43"/>
      <c r="I56" s="44"/>
      <c r="J56" s="43"/>
      <c r="L56" s="43"/>
      <c r="M56" s="43"/>
      <c r="N56" s="43"/>
      <c r="Q56" s="43"/>
      <c r="R56" s="43"/>
    </row>
    <row r="57" spans="2:18" x14ac:dyDescent="0.2">
      <c r="H57" s="43"/>
      <c r="I57" s="44"/>
      <c r="J57" s="43"/>
      <c r="L57" s="43"/>
      <c r="M57" s="43"/>
      <c r="N57" s="43"/>
      <c r="Q57" s="43"/>
      <c r="R57" s="43"/>
    </row>
    <row r="58" spans="2:18" x14ac:dyDescent="0.2">
      <c r="B58" s="31"/>
      <c r="H58" s="43"/>
      <c r="I58" s="44"/>
      <c r="J58" s="43"/>
      <c r="L58" s="43"/>
      <c r="M58" s="43"/>
      <c r="N58" s="43"/>
      <c r="Q58" s="43"/>
      <c r="R58" s="43"/>
    </row>
    <row r="59" spans="2:18" x14ac:dyDescent="0.2">
      <c r="B59" s="31"/>
      <c r="H59" s="43"/>
      <c r="I59" s="44"/>
      <c r="J59" s="43"/>
      <c r="L59" s="43"/>
      <c r="M59" s="43"/>
      <c r="N59" s="43"/>
      <c r="Q59" s="43"/>
      <c r="R59" s="43"/>
    </row>
    <row r="60" spans="2:18" x14ac:dyDescent="0.2">
      <c r="B60" s="31"/>
      <c r="H60" s="43"/>
      <c r="I60" s="44"/>
      <c r="J60" s="43"/>
      <c r="L60" s="43"/>
      <c r="M60" s="43"/>
      <c r="N60" s="43"/>
      <c r="Q60" s="43"/>
      <c r="R60" s="43"/>
    </row>
    <row r="61" spans="2:18" x14ac:dyDescent="0.2">
      <c r="B61" s="31"/>
      <c r="H61" s="43"/>
      <c r="I61" s="44"/>
      <c r="J61" s="43"/>
      <c r="L61" s="43"/>
      <c r="M61" s="43"/>
      <c r="N61" s="43"/>
      <c r="Q61" s="43"/>
      <c r="R61" s="43"/>
    </row>
    <row r="62" spans="2:18" x14ac:dyDescent="0.2">
      <c r="B62" s="31"/>
      <c r="H62" s="43"/>
      <c r="I62" s="44"/>
      <c r="J62" s="43"/>
      <c r="L62" s="43"/>
      <c r="M62" s="43"/>
      <c r="N62" s="43"/>
      <c r="Q62" s="43"/>
      <c r="R62" s="43"/>
    </row>
    <row r="63" spans="2:18" x14ac:dyDescent="0.2">
      <c r="B63" s="31"/>
      <c r="H63" s="43"/>
      <c r="I63" s="44"/>
      <c r="J63" s="43"/>
      <c r="L63" s="43"/>
      <c r="M63" s="43"/>
      <c r="N63" s="43"/>
      <c r="Q63" s="43"/>
      <c r="R63" s="43"/>
    </row>
    <row r="64" spans="2:18" x14ac:dyDescent="0.2">
      <c r="B64" s="31"/>
      <c r="H64" s="43"/>
      <c r="I64" s="44"/>
      <c r="J64" s="43"/>
      <c r="L64" s="43"/>
      <c r="M64" s="43"/>
      <c r="N64" s="43"/>
      <c r="Q64" s="43"/>
      <c r="R64" s="43"/>
    </row>
    <row r="65" spans="2:18" x14ac:dyDescent="0.2">
      <c r="B65" s="31"/>
      <c r="H65" s="43"/>
      <c r="I65" s="44"/>
      <c r="J65" s="43"/>
      <c r="L65" s="43"/>
      <c r="M65" s="43"/>
      <c r="N65" s="43"/>
      <c r="Q65" s="43"/>
      <c r="R65" s="43"/>
    </row>
    <row r="66" spans="2:18" x14ac:dyDescent="0.2">
      <c r="B66" s="31"/>
      <c r="H66" s="43"/>
      <c r="I66" s="44"/>
      <c r="J66" s="43"/>
      <c r="L66" s="43"/>
      <c r="M66" s="43"/>
      <c r="N66" s="43"/>
      <c r="Q66" s="43"/>
      <c r="R66" s="43"/>
    </row>
    <row r="67" spans="2:18" x14ac:dyDescent="0.2">
      <c r="C67" s="24"/>
      <c r="H67" s="43"/>
      <c r="I67" s="44"/>
      <c r="J67" s="43"/>
      <c r="L67" s="43"/>
      <c r="M67" s="43"/>
      <c r="N67" s="43"/>
      <c r="Q67" s="43"/>
      <c r="R67" s="43"/>
    </row>
    <row r="68" spans="2:18" x14ac:dyDescent="0.2">
      <c r="C68" s="24"/>
      <c r="H68" s="43"/>
      <c r="I68" s="44"/>
      <c r="J68" s="43"/>
      <c r="L68" s="43"/>
      <c r="M68" s="43"/>
      <c r="N68" s="43"/>
      <c r="Q68" s="43"/>
      <c r="R68" s="43"/>
    </row>
    <row r="69" spans="2:18" x14ac:dyDescent="0.2">
      <c r="C69" s="24"/>
      <c r="H69" s="43"/>
      <c r="I69" s="44"/>
      <c r="J69" s="43"/>
      <c r="L69" s="43"/>
      <c r="M69" s="43"/>
      <c r="N69" s="43"/>
      <c r="Q69" s="43"/>
      <c r="R69" s="43"/>
    </row>
    <row r="70" spans="2:18" x14ac:dyDescent="0.2">
      <c r="C70" s="24"/>
      <c r="H70" s="43"/>
      <c r="I70" s="44"/>
      <c r="J70" s="43"/>
      <c r="L70" s="43"/>
      <c r="M70" s="43"/>
      <c r="N70" s="43"/>
      <c r="Q70" s="43"/>
      <c r="R70" s="43"/>
    </row>
    <row r="71" spans="2:18" x14ac:dyDescent="0.2">
      <c r="C71" s="24"/>
      <c r="H71" s="43"/>
      <c r="I71" s="44"/>
      <c r="J71" s="43"/>
      <c r="L71" s="43"/>
      <c r="M71" s="43"/>
      <c r="N71" s="43"/>
      <c r="Q71" s="43"/>
      <c r="R71" s="43"/>
    </row>
    <row r="72" spans="2:18" x14ac:dyDescent="0.2">
      <c r="C72" s="24"/>
      <c r="H72" s="43"/>
      <c r="I72" s="44"/>
      <c r="J72" s="43"/>
      <c r="L72" s="43"/>
      <c r="M72" s="43"/>
      <c r="N72" s="43"/>
      <c r="Q72" s="43"/>
      <c r="R72" s="43"/>
    </row>
    <row r="73" spans="2:18" x14ac:dyDescent="0.2">
      <c r="C73" s="24"/>
      <c r="H73" s="43"/>
      <c r="I73" s="44"/>
      <c r="J73" s="43"/>
      <c r="L73" s="43"/>
      <c r="M73" s="43"/>
      <c r="N73" s="43"/>
      <c r="Q73" s="43"/>
      <c r="R73" s="43"/>
    </row>
    <row r="74" spans="2:18" x14ac:dyDescent="0.2">
      <c r="C74" s="24"/>
      <c r="H74" s="43"/>
      <c r="I74" s="44"/>
      <c r="J74" s="43"/>
      <c r="L74" s="43"/>
      <c r="M74" s="43"/>
      <c r="N74" s="43"/>
      <c r="Q74" s="43"/>
      <c r="R74" s="43"/>
    </row>
    <row r="75" spans="2:18" x14ac:dyDescent="0.2">
      <c r="C75" s="24"/>
      <c r="H75" s="43"/>
      <c r="I75" s="44"/>
      <c r="J75" s="43"/>
      <c r="L75" s="43"/>
      <c r="M75" s="43"/>
      <c r="N75" s="43"/>
      <c r="Q75" s="43"/>
      <c r="R75" s="43"/>
    </row>
    <row r="76" spans="2:18" x14ac:dyDescent="0.2">
      <c r="C76" s="24"/>
      <c r="H76" s="43"/>
      <c r="I76" s="44"/>
      <c r="J76" s="43"/>
      <c r="L76" s="43"/>
      <c r="M76" s="43"/>
      <c r="N76" s="43"/>
      <c r="Q76" s="43"/>
      <c r="R76" s="43"/>
    </row>
    <row r="77" spans="2:18" x14ac:dyDescent="0.2">
      <c r="C77" s="24"/>
      <c r="H77" s="43"/>
      <c r="I77" s="44"/>
      <c r="J77" s="43"/>
      <c r="L77" s="43"/>
      <c r="M77" s="43"/>
      <c r="N77" s="43"/>
      <c r="Q77" s="43"/>
      <c r="R77" s="43"/>
    </row>
    <row r="78" spans="2:18" x14ac:dyDescent="0.2">
      <c r="C78" s="24"/>
      <c r="H78" s="43"/>
      <c r="I78" s="44"/>
      <c r="J78" s="43"/>
      <c r="L78" s="43"/>
      <c r="M78" s="43"/>
      <c r="N78" s="43"/>
      <c r="Q78" s="43"/>
      <c r="R78" s="43"/>
    </row>
    <row r="79" spans="2:18" x14ac:dyDescent="0.2">
      <c r="C79" s="24"/>
      <c r="H79" s="43"/>
      <c r="I79" s="44"/>
      <c r="J79" s="43"/>
      <c r="L79" s="43"/>
      <c r="M79" s="43"/>
      <c r="N79" s="43"/>
      <c r="Q79" s="43"/>
      <c r="R79" s="43"/>
    </row>
    <row r="80" spans="2:18" x14ac:dyDescent="0.2">
      <c r="C80" s="24"/>
      <c r="H80" s="43"/>
      <c r="I80" s="44"/>
      <c r="J80" s="43"/>
      <c r="L80" s="43"/>
      <c r="M80" s="43"/>
      <c r="N80" s="43"/>
      <c r="Q80" s="43"/>
      <c r="R80" s="43"/>
    </row>
    <row r="81" spans="2:18" x14ac:dyDescent="0.2">
      <c r="C81" s="24"/>
      <c r="H81" s="43"/>
      <c r="I81" s="44"/>
      <c r="J81" s="43"/>
      <c r="L81" s="43"/>
      <c r="M81" s="43"/>
      <c r="N81" s="43"/>
      <c r="Q81" s="43"/>
      <c r="R81" s="43"/>
    </row>
    <row r="82" spans="2:18" x14ac:dyDescent="0.2">
      <c r="C82" s="24"/>
      <c r="H82" s="43"/>
      <c r="I82" s="44"/>
      <c r="J82" s="43"/>
      <c r="L82" s="43"/>
      <c r="M82" s="43"/>
      <c r="N82" s="43"/>
      <c r="Q82" s="43"/>
      <c r="R82" s="43"/>
    </row>
    <row r="83" spans="2:18" x14ac:dyDescent="0.2">
      <c r="C83" s="24"/>
      <c r="H83" s="43"/>
      <c r="I83" s="44"/>
      <c r="J83" s="43"/>
      <c r="L83" s="43"/>
      <c r="M83" s="43"/>
      <c r="N83" s="43"/>
      <c r="Q83" s="43"/>
      <c r="R83" s="43"/>
    </row>
    <row r="84" spans="2:18" x14ac:dyDescent="0.2">
      <c r="C84" s="24"/>
      <c r="H84" s="43"/>
      <c r="I84" s="44"/>
      <c r="J84" s="43"/>
      <c r="L84" s="43"/>
      <c r="M84" s="43"/>
      <c r="N84" s="43"/>
      <c r="Q84" s="43"/>
      <c r="R84" s="43"/>
    </row>
    <row r="85" spans="2:18" x14ac:dyDescent="0.2">
      <c r="C85" s="24"/>
      <c r="H85" s="43"/>
      <c r="I85" s="44"/>
      <c r="J85" s="43"/>
      <c r="L85" s="43"/>
      <c r="M85" s="43"/>
      <c r="N85" s="43"/>
      <c r="Q85" s="43"/>
      <c r="R85" s="43"/>
    </row>
    <row r="86" spans="2:18" x14ac:dyDescent="0.2">
      <c r="C86" s="24"/>
      <c r="H86" s="43"/>
      <c r="I86" s="44"/>
      <c r="J86" s="43"/>
      <c r="L86" s="43"/>
      <c r="M86" s="43"/>
      <c r="N86" s="43"/>
      <c r="Q86" s="43"/>
      <c r="R86" s="43"/>
    </row>
    <row r="87" spans="2:18" x14ac:dyDescent="0.2">
      <c r="C87" s="24"/>
      <c r="H87" s="43"/>
      <c r="I87" s="44"/>
      <c r="J87" s="43"/>
      <c r="L87" s="43"/>
      <c r="M87" s="43"/>
      <c r="N87" s="43"/>
      <c r="Q87" s="43"/>
      <c r="R87" s="43"/>
    </row>
    <row r="88" spans="2:18" x14ac:dyDescent="0.2">
      <c r="C88" s="24"/>
      <c r="H88" s="43"/>
      <c r="I88" s="44"/>
      <c r="J88" s="43"/>
      <c r="L88" s="43"/>
      <c r="M88" s="43"/>
      <c r="N88" s="43"/>
      <c r="Q88" s="43"/>
      <c r="R88" s="43"/>
    </row>
    <row r="89" spans="2:18" x14ac:dyDescent="0.2">
      <c r="C89" s="24"/>
      <c r="H89" s="43"/>
      <c r="I89" s="44"/>
      <c r="J89" s="43"/>
      <c r="L89" s="43"/>
      <c r="M89" s="43"/>
      <c r="N89" s="43"/>
      <c r="Q89" s="43"/>
      <c r="R89" s="43"/>
    </row>
    <row r="90" spans="2:18" x14ac:dyDescent="0.2">
      <c r="C90" s="24"/>
      <c r="H90" s="43"/>
      <c r="I90" s="44"/>
      <c r="J90" s="43"/>
      <c r="L90" s="43"/>
      <c r="M90" s="43"/>
      <c r="N90" s="43"/>
      <c r="Q90" s="43"/>
      <c r="R90" s="43"/>
    </row>
    <row r="91" spans="2:18" x14ac:dyDescent="0.2">
      <c r="B91" s="24" t="str">
        <f>IF(Lang="Français","Textes pour les listes déroulantes et graphiques :",IF(Lang="English","Texts for drop-down lists &amp; graphics :",""))</f>
        <v>Textes pour les listes déroulantes et graphiques :</v>
      </c>
      <c r="H91" s="43"/>
      <c r="I91" s="44"/>
      <c r="J91" s="43"/>
      <c r="L91" s="43"/>
      <c r="M91" s="43"/>
      <c r="N91" s="43"/>
      <c r="Q91" s="43"/>
      <c r="R91" s="43"/>
    </row>
    <row r="92" spans="2:18" x14ac:dyDescent="0.2">
      <c r="H92" s="43"/>
      <c r="I92" s="44"/>
      <c r="J92" s="43"/>
      <c r="L92" s="43"/>
      <c r="M92" s="43"/>
      <c r="N92" s="43"/>
      <c r="Q92" s="43"/>
      <c r="R92" s="43"/>
    </row>
    <row r="93" spans="2:18" x14ac:dyDescent="0.2">
      <c r="B93" s="26" t="s">
        <v>1</v>
      </c>
      <c r="H93" s="43"/>
      <c r="I93" s="44"/>
      <c r="J93" s="43"/>
      <c r="L93" s="43"/>
      <c r="M93" s="43"/>
      <c r="N93" s="43"/>
      <c r="Q93" s="43"/>
      <c r="R93" s="43"/>
    </row>
    <row r="94" spans="2:18" x14ac:dyDescent="0.2">
      <c r="B94" s="26" t="s">
        <v>68</v>
      </c>
      <c r="H94" s="43"/>
      <c r="I94" s="44"/>
      <c r="J94" s="43"/>
      <c r="L94" s="43"/>
      <c r="M94" s="43"/>
      <c r="N94" s="43"/>
      <c r="Q94" s="43"/>
      <c r="R94" s="43"/>
    </row>
    <row r="95" spans="2:18" x14ac:dyDescent="0.2">
      <c r="B95" s="26"/>
      <c r="H95" s="43"/>
      <c r="I95" s="44"/>
      <c r="J95" s="43"/>
      <c r="L95" s="43"/>
      <c r="M95" s="43"/>
      <c r="N95" s="43"/>
      <c r="Q95" s="43"/>
      <c r="R95" s="43"/>
    </row>
    <row r="96" spans="2:18" x14ac:dyDescent="0.2">
      <c r="B96" s="26" t="str">
        <f>IF(Lang="Français","Fusée à eau  ",IF(Lang="English","Water-rocket  ",""))</f>
        <v xml:space="preserve">Fusée à eau  </v>
      </c>
      <c r="H96" s="43"/>
      <c r="I96" s="44"/>
      <c r="J96" s="43"/>
      <c r="L96" s="43"/>
      <c r="M96" s="43"/>
      <c r="N96" s="43"/>
      <c r="Q96" s="43"/>
      <c r="R96" s="43"/>
    </row>
    <row r="97" spans="2:18" x14ac:dyDescent="0.2">
      <c r="B97" s="26" t="str">
        <f>IF(Lang="Français","Microfusée",IF(Lang="English","Micro-rocket",""))</f>
        <v>Microfusée</v>
      </c>
      <c r="H97" s="43"/>
      <c r="I97" s="44"/>
      <c r="J97" s="43"/>
      <c r="L97" s="43"/>
      <c r="M97" s="43"/>
      <c r="N97" s="43"/>
      <c r="Q97" s="43"/>
      <c r="R97" s="43"/>
    </row>
    <row r="98" spans="2:18" x14ac:dyDescent="0.2">
      <c r="B98" s="26" t="str">
        <f>IF(Lang="Français","Minifusée",IF(Lang="English","Mini-rocket",""))</f>
        <v>Minifusée</v>
      </c>
      <c r="H98" s="43"/>
      <c r="I98" s="44"/>
      <c r="J98" s="43"/>
      <c r="L98" s="43"/>
      <c r="M98" s="43"/>
      <c r="N98" s="43"/>
      <c r="Q98" s="43"/>
      <c r="R98" s="43"/>
    </row>
    <row r="99" spans="2:18" x14ac:dyDescent="0.2">
      <c r="B99" s="26" t="s">
        <v>397</v>
      </c>
      <c r="H99" s="43"/>
      <c r="I99" s="44"/>
      <c r="J99" s="43"/>
      <c r="L99" s="43"/>
      <c r="M99" s="43"/>
      <c r="N99" s="43"/>
      <c r="Q99" s="43"/>
      <c r="R99" s="43"/>
    </row>
    <row r="100" spans="2:18" x14ac:dyDescent="0.2">
      <c r="B100" s="26" t="str">
        <f>IF(Lang="Français","Fusée expérimentale.",IF(Lang="English","Experimental Rocket.",""))</f>
        <v>Fusée expérimentale.</v>
      </c>
      <c r="H100" s="43"/>
      <c r="I100" s="44"/>
      <c r="J100" s="43"/>
      <c r="L100" s="43"/>
      <c r="M100" s="43"/>
      <c r="N100" s="43"/>
      <c r="Q100" s="43"/>
      <c r="R100" s="43"/>
    </row>
    <row r="101" spans="2:18" x14ac:dyDescent="0.2">
      <c r="B101" s="26" t="s">
        <v>398</v>
      </c>
      <c r="H101" s="43"/>
      <c r="I101" s="44"/>
      <c r="J101" s="43"/>
      <c r="L101" s="43"/>
      <c r="M101" s="43"/>
      <c r="N101" s="43"/>
      <c r="Q101" s="43"/>
      <c r="R101" s="43"/>
    </row>
    <row r="102" spans="2:18" x14ac:dyDescent="0.2">
      <c r="B102" s="26"/>
      <c r="H102" s="43"/>
      <c r="I102" s="44"/>
      <c r="J102" s="43"/>
      <c r="L102" s="43"/>
      <c r="M102" s="43"/>
      <c r="N102" s="43"/>
      <c r="Q102" s="43"/>
      <c r="R102" s="43"/>
    </row>
    <row r="103" spans="2:18" x14ac:dyDescent="0.2">
      <c r="B103" s="26" t="str">
        <f>IF(Lang="Français","sans propu",IF(Lang="English","without motor",""))</f>
        <v>sans propu</v>
      </c>
      <c r="H103" s="43"/>
      <c r="I103" s="44"/>
      <c r="J103" s="43"/>
      <c r="L103" s="43"/>
      <c r="M103" s="43"/>
      <c r="N103" s="43"/>
      <c r="Q103" s="43"/>
      <c r="R103" s="43"/>
    </row>
    <row r="104" spans="2:18" x14ac:dyDescent="0.2">
      <c r="B104" s="26" t="str">
        <f>IF(Lang="Français","avec propu vide",IF(Lang="English","with empty motor",""))</f>
        <v>avec propu vide</v>
      </c>
      <c r="H104" s="43"/>
      <c r="I104" s="44"/>
      <c r="J104" s="43"/>
      <c r="L104" s="43"/>
      <c r="M104" s="43"/>
      <c r="N104" s="43"/>
      <c r="Q104" s="43"/>
      <c r="R104" s="43"/>
    </row>
    <row r="105" spans="2:18" x14ac:dyDescent="0.2">
      <c r="B105" s="26" t="str">
        <f>IF(Lang="Français","avec propu plein",IF(Lang="English","with loaded motor",""))</f>
        <v>avec propu plein</v>
      </c>
      <c r="H105" s="43"/>
      <c r="I105" s="44"/>
      <c r="J105" s="43"/>
      <c r="L105" s="43"/>
      <c r="M105" s="43"/>
      <c r="N105" s="43"/>
      <c r="Q105" s="43"/>
      <c r="R105" s="43"/>
    </row>
    <row r="106" spans="2:18" x14ac:dyDescent="0.2">
      <c r="B106" s="26"/>
      <c r="H106" s="43"/>
      <c r="I106" s="44"/>
      <c r="J106" s="43"/>
      <c r="L106" s="43"/>
      <c r="M106" s="43"/>
      <c r="N106" s="43"/>
      <c r="Q106" s="43"/>
      <c r="R106" s="43"/>
    </row>
    <row r="107" spans="2:18" x14ac:dyDescent="0.2">
      <c r="B107" s="26" t="str">
        <f>IF(Lang="Français","Parabolique (arrondie)",IF(Lang="English","Parabola (rounded)",""))</f>
        <v>Parabolique (arrondie)</v>
      </c>
      <c r="H107" s="43"/>
      <c r="I107" s="44"/>
      <c r="J107" s="43"/>
      <c r="L107" s="43"/>
      <c r="M107" s="43"/>
      <c r="N107" s="43"/>
      <c r="Q107" s="43"/>
      <c r="R107" s="43"/>
    </row>
    <row r="108" spans="2:18" x14ac:dyDescent="0.2">
      <c r="B108" s="26" t="str">
        <f>IF(Lang="Français","Ogivale (pointue)",IF(Lang="English","Ogive (sharp)",""))</f>
        <v>Ogivale (pointue)</v>
      </c>
      <c r="H108" s="43"/>
      <c r="I108" s="44"/>
      <c r="J108" s="43"/>
      <c r="L108" s="43"/>
      <c r="M108" s="43"/>
      <c r="N108" s="43"/>
      <c r="Q108" s="43"/>
      <c r="R108" s="43"/>
    </row>
    <row r="109" spans="2:18" x14ac:dyDescent="0.2">
      <c r="B109" s="26" t="str">
        <f>IF(Lang="Français","Conique (droite)",IF(Lang="English","Cone (straight)",""))</f>
        <v>Conique (droite)</v>
      </c>
      <c r="H109" s="43"/>
      <c r="I109" s="44"/>
      <c r="J109" s="43"/>
      <c r="L109" s="43"/>
      <c r="M109" s="43"/>
      <c r="N109" s="43"/>
      <c r="Q109" s="43"/>
      <c r="R109" s="43"/>
    </row>
    <row r="110" spans="2:18" x14ac:dyDescent="0.2">
      <c r="B110" s="38"/>
      <c r="H110" s="43"/>
      <c r="I110" s="44"/>
      <c r="J110" s="43"/>
      <c r="L110" s="43"/>
      <c r="M110" s="43"/>
      <c r="N110" s="43"/>
      <c r="Q110" s="43"/>
      <c r="R110" s="43"/>
    </row>
    <row r="111" spans="2:18" x14ac:dyDescent="0.2">
      <c r="B111" s="38" t="s">
        <v>424</v>
      </c>
      <c r="H111" s="43"/>
      <c r="I111" s="44"/>
      <c r="J111" s="43"/>
      <c r="L111" s="43"/>
      <c r="M111" s="43"/>
      <c r="N111" s="43"/>
      <c r="Q111" s="43"/>
      <c r="R111" s="43"/>
    </row>
    <row r="112" spans="2:18" x14ac:dyDescent="0.2">
      <c r="B112" s="38" t="s">
        <v>425</v>
      </c>
      <c r="H112" s="43"/>
      <c r="I112" s="44"/>
      <c r="J112" s="43"/>
      <c r="L112" s="43"/>
      <c r="M112" s="43"/>
      <c r="N112" s="43"/>
      <c r="Q112" s="43"/>
      <c r="R112" s="43"/>
    </row>
    <row r="113" spans="2:18" x14ac:dyDescent="0.2">
      <c r="B113" s="38"/>
      <c r="H113" s="43"/>
      <c r="I113" s="44"/>
      <c r="J113" s="43"/>
      <c r="L113" s="43"/>
      <c r="M113" s="43"/>
      <c r="N113" s="43"/>
      <c r="Q113" s="43"/>
      <c r="R113" s="43"/>
    </row>
    <row r="114" spans="2:18" x14ac:dyDescent="0.2">
      <c r="B114" s="38" t="str">
        <f>IF(Lang="Français","Fusée mono-diamètre,",IF(Lang="English","Mono-diameter rocket,",""))</f>
        <v>Fusée mono-diamètre,</v>
      </c>
      <c r="H114" s="43"/>
      <c r="I114" s="44"/>
      <c r="J114" s="43"/>
      <c r="L114" s="43"/>
      <c r="M114" s="43"/>
      <c r="N114" s="43"/>
      <c r="Q114" s="43"/>
      <c r="R114" s="43"/>
    </row>
    <row r="115" spans="2:18" x14ac:dyDescent="0.2">
      <c r="B115" s="38" t="str">
        <f>IF(Lang="Français","Plusieurs diamètres.",IF(Lang="English","Many diameters rocket.",""))</f>
        <v>Plusieurs diamètres.</v>
      </c>
      <c r="H115" s="43"/>
      <c r="I115" s="44"/>
      <c r="J115" s="43"/>
      <c r="L115" s="43"/>
      <c r="M115" s="43"/>
      <c r="N115" s="43"/>
      <c r="Q115" s="43"/>
      <c r="R115" s="43"/>
    </row>
    <row r="116" spans="2:18" x14ac:dyDescent="0.2">
      <c r="B116" s="38"/>
      <c r="H116" s="43"/>
      <c r="I116" s="44"/>
      <c r="J116" s="43"/>
      <c r="L116" s="43"/>
      <c r="M116" s="43"/>
      <c r="N116" s="43"/>
      <c r="Q116" s="43"/>
      <c r="R116" s="43"/>
    </row>
    <row r="117" spans="2:18" x14ac:dyDescent="0.2">
      <c r="B117" s="223" t="str">
        <f>IF(Lang="Français","Diagramme des critères de stabilité","Stability criterions diagram")</f>
        <v>Diagramme des critères de stabilité</v>
      </c>
      <c r="H117" s="43"/>
      <c r="I117" s="44"/>
      <c r="J117" s="43"/>
      <c r="L117" s="43"/>
      <c r="M117" s="43"/>
      <c r="N117" s="43"/>
      <c r="Q117" s="43"/>
      <c r="R117" s="43"/>
    </row>
    <row r="118" spans="2:18" x14ac:dyDescent="0.2">
      <c r="B118" s="223" t="str">
        <f>IF(Lang="Français","Marge Statique (MS)","Static Margin")</f>
        <v>Marge Statique (MS)</v>
      </c>
      <c r="H118" s="43"/>
      <c r="I118" s="44"/>
      <c r="J118" s="43"/>
      <c r="L118" s="43"/>
      <c r="M118" s="43"/>
      <c r="N118" s="43"/>
      <c r="Q118" s="43"/>
      <c r="R118" s="43"/>
    </row>
    <row r="119" spans="2:18" x14ac:dyDescent="0.2">
      <c r="B119" s="223" t="str">
        <f>IF(Lang="Français","Portance Cnα","Lift Cnα")</f>
        <v>Portance Cnα</v>
      </c>
      <c r="H119" s="43"/>
      <c r="I119" s="44"/>
      <c r="J119" s="43"/>
      <c r="L119" s="43"/>
      <c r="M119" s="43"/>
      <c r="N119" s="43"/>
      <c r="Q119" s="43"/>
      <c r="R119" s="43"/>
    </row>
    <row r="120" spans="2:18" x14ac:dyDescent="0.2">
      <c r="B120" s="38"/>
      <c r="H120" s="43"/>
      <c r="I120" s="44"/>
      <c r="J120" s="43"/>
      <c r="L120" s="43"/>
      <c r="M120" s="43"/>
      <c r="N120" s="43"/>
      <c r="Q120" s="43"/>
      <c r="R120" s="43"/>
    </row>
    <row r="121" spans="2:18" x14ac:dyDescent="0.2">
      <c r="B121" s="24" t="str">
        <f>IF(Lang="Français","Données pour les graphiques :",IF(Lang="English","Data for plots:",""))</f>
        <v>Données pour les graphiques :</v>
      </c>
      <c r="H121" s="43"/>
      <c r="I121" s="44"/>
      <c r="J121" s="43"/>
      <c r="L121" s="43"/>
      <c r="M121" s="43"/>
      <c r="N121" s="43"/>
      <c r="Q121" s="43"/>
      <c r="R121" s="43"/>
    </row>
    <row r="122" spans="2:18" x14ac:dyDescent="0.2">
      <c r="H122" s="43"/>
      <c r="I122" s="44"/>
      <c r="J122" s="43"/>
      <c r="L122" s="43"/>
      <c r="M122" s="43"/>
      <c r="N122" s="43"/>
      <c r="Q122" s="43"/>
      <c r="R122" s="43"/>
    </row>
    <row r="123" spans="2:18" x14ac:dyDescent="0.2">
      <c r="B123" s="45"/>
      <c r="C123" s="45" t="s">
        <v>69</v>
      </c>
      <c r="D123" s="45" t="s">
        <v>70</v>
      </c>
      <c r="E123" s="92" t="s">
        <v>71</v>
      </c>
      <c r="K123" s="45"/>
      <c r="R123" s="43"/>
    </row>
    <row r="124" spans="2:18" x14ac:dyDescent="0.2">
      <c r="B124" s="45" t="s">
        <v>73</v>
      </c>
      <c r="C124" s="46">
        <f>-Long_ogive</f>
        <v>-1</v>
      </c>
      <c r="D124" s="46">
        <v>0</v>
      </c>
      <c r="E124" s="93">
        <f t="shared" ref="E124:E136" si="0">-D124</f>
        <v>0</v>
      </c>
      <c r="K124" s="46"/>
    </row>
    <row r="125" spans="2:18" x14ac:dyDescent="0.2">
      <c r="B125" s="45" t="s">
        <v>73</v>
      </c>
      <c r="C125" s="46">
        <f>-Long_ogive</f>
        <v>-1</v>
      </c>
      <c r="D125" s="46">
        <f>D_og/2</f>
        <v>42</v>
      </c>
      <c r="E125" s="93">
        <f t="shared" si="0"/>
        <v>-42</v>
      </c>
      <c r="K125" s="46"/>
    </row>
    <row r="126" spans="2:18" x14ac:dyDescent="0.2">
      <c r="B126" s="45" t="s">
        <v>74</v>
      </c>
      <c r="C126" s="46">
        <f>IF(AND(RIGHT(Nb_diam,1)=".",X_j), -X_j, C125 )</f>
        <v>-1</v>
      </c>
      <c r="D126" s="46">
        <f>IF(AND(RIGHT(Nb_diam,1)=".",X_j), D1j/2, D125 )</f>
        <v>42</v>
      </c>
      <c r="E126" s="93">
        <f t="shared" si="0"/>
        <v>-42</v>
      </c>
      <c r="K126" s="46"/>
    </row>
    <row r="127" spans="2:18" x14ac:dyDescent="0.2">
      <c r="B127" s="45" t="s">
        <v>75</v>
      </c>
      <c r="C127" s="46">
        <f>IF(AND(RIGHT(Nb_diam,1)=".",X_j), -X_j-l_j, C126 )</f>
        <v>-51</v>
      </c>
      <c r="D127" s="46">
        <f>IF(AND(RIGHT(Nb_diam,1)=".",X_j), D2j/2, D126 )</f>
        <v>52</v>
      </c>
      <c r="E127" s="93">
        <f t="shared" si="0"/>
        <v>-52</v>
      </c>
      <c r="K127" s="46"/>
    </row>
    <row r="128" spans="2:18" x14ac:dyDescent="0.2">
      <c r="B128" s="45" t="s">
        <v>76</v>
      </c>
      <c r="C128" s="46">
        <f>IF(AND(RIGHT(Nb_diam,1)=".",X_r), -X_r, C127 )</f>
        <v>-51</v>
      </c>
      <c r="D128" s="46">
        <f>IF(AND(RIGHT(Nb_diam,1)=".",X_r), D1r/2, D127 )</f>
        <v>52</v>
      </c>
      <c r="E128" s="93">
        <f t="shared" si="0"/>
        <v>-52</v>
      </c>
      <c r="K128" s="46"/>
    </row>
    <row r="129" spans="2:11" x14ac:dyDescent="0.2">
      <c r="B129" s="45" t="s">
        <v>77</v>
      </c>
      <c r="C129" s="46">
        <f>IF(AND(RIGHT(Nb_diam,1)=".",X_r), -X_r-l_r, C128 )</f>
        <v>-51</v>
      </c>
      <c r="D129" s="46">
        <f>IF(AND(RIGHT(Nb_diam,1)=".",X_r), D2r/2, D128 )</f>
        <v>52</v>
      </c>
      <c r="E129" s="93">
        <f t="shared" si="0"/>
        <v>-52</v>
      </c>
      <c r="K129" s="46"/>
    </row>
    <row r="130" spans="2:11" x14ac:dyDescent="0.2">
      <c r="B130" s="45" t="s">
        <v>78</v>
      </c>
      <c r="C130" s="46">
        <f>-Long_tot</f>
        <v>-1035</v>
      </c>
      <c r="D130" s="46">
        <f>D129</f>
        <v>52</v>
      </c>
      <c r="E130" s="93">
        <f t="shared" si="0"/>
        <v>-52</v>
      </c>
      <c r="K130" s="46"/>
    </row>
    <row r="131" spans="2:11" x14ac:dyDescent="0.2">
      <c r="B131" s="45" t="s">
        <v>78</v>
      </c>
      <c r="C131" s="46">
        <f>-Long_tot</f>
        <v>-1035</v>
      </c>
      <c r="D131" s="46">
        <v>0</v>
      </c>
      <c r="E131" s="93">
        <f t="shared" si="0"/>
        <v>0</v>
      </c>
      <c r="K131" s="46"/>
    </row>
    <row r="132" spans="2:11" x14ac:dyDescent="0.2">
      <c r="B132" s="183" t="s">
        <v>79</v>
      </c>
      <c r="C132" s="197">
        <f>-X_ail+m_ail</f>
        <v>-825</v>
      </c>
      <c r="D132" s="197">
        <f>D_ail/2</f>
        <v>52</v>
      </c>
      <c r="E132" s="198">
        <f t="shared" si="0"/>
        <v>-52</v>
      </c>
      <c r="K132" s="46"/>
    </row>
    <row r="133" spans="2:11" x14ac:dyDescent="0.2">
      <c r="B133" s="185" t="s">
        <v>80</v>
      </c>
      <c r="C133" s="46">
        <f>-X_ail+m_ail-p_ail</f>
        <v>-1005</v>
      </c>
      <c r="D133" s="46">
        <f>D_ail/2+E_ail</f>
        <v>182</v>
      </c>
      <c r="E133" s="199">
        <f t="shared" si="0"/>
        <v>-182</v>
      </c>
      <c r="K133" s="46"/>
    </row>
    <row r="134" spans="2:11" x14ac:dyDescent="0.2">
      <c r="B134" s="185" t="s">
        <v>81</v>
      </c>
      <c r="C134" s="46">
        <f>-X_ail+m_ail-p_ail-n_ail</f>
        <v>-1065</v>
      </c>
      <c r="D134" s="46">
        <f>D_ail/2+E_ail</f>
        <v>182</v>
      </c>
      <c r="E134" s="199">
        <f t="shared" si="0"/>
        <v>-182</v>
      </c>
      <c r="K134" s="46"/>
    </row>
    <row r="135" spans="2:11" x14ac:dyDescent="0.2">
      <c r="B135" s="185" t="s">
        <v>82</v>
      </c>
      <c r="C135" s="46">
        <f>-X_ail</f>
        <v>-1015</v>
      </c>
      <c r="D135" s="46">
        <f>D_ail/2</f>
        <v>52</v>
      </c>
      <c r="E135" s="199">
        <f t="shared" si="0"/>
        <v>-52</v>
      </c>
      <c r="K135" s="46"/>
    </row>
    <row r="136" spans="2:11" x14ac:dyDescent="0.2">
      <c r="B136" s="187" t="s">
        <v>79</v>
      </c>
      <c r="C136" s="200">
        <f>-X_ail+m_ail</f>
        <v>-825</v>
      </c>
      <c r="D136" s="200">
        <f>D_ail/2</f>
        <v>52</v>
      </c>
      <c r="E136" s="201">
        <f t="shared" si="0"/>
        <v>-52</v>
      </c>
      <c r="K136" s="46"/>
    </row>
    <row r="137" spans="2:11" x14ac:dyDescent="0.2">
      <c r="B137" s="192" t="str">
        <f>IF(E_ail&gt;0,IF(Lang="Français","Envergure","Span"),"")</f>
        <v>Envergure</v>
      </c>
      <c r="C137" s="197">
        <f>MIN(-X_ail,-X_ail+m_ail-p_ail-n_ail)-Long_tot/30</f>
        <v>-1099.5</v>
      </c>
      <c r="D137" s="207">
        <f>-D_ail/2-E_ail</f>
        <v>-182</v>
      </c>
      <c r="E137" s="93"/>
      <c r="K137" s="46"/>
    </row>
    <row r="138" spans="2:11" x14ac:dyDescent="0.2">
      <c r="B138" s="195" t="s">
        <v>167</v>
      </c>
      <c r="C138" s="46">
        <f>MIN(-X_ail,-X_ail+m_ail-p_ail-n_ail)-Long_tot/30</f>
        <v>-1099.5</v>
      </c>
      <c r="D138" s="208">
        <f>-D_ail/2-E_ail/2</f>
        <v>-117</v>
      </c>
      <c r="E138" s="93"/>
      <c r="K138" s="46"/>
    </row>
    <row r="139" spans="2:11" x14ac:dyDescent="0.2">
      <c r="B139" s="212" t="s">
        <v>163</v>
      </c>
      <c r="C139" s="200">
        <f>MIN(-X_ail,-X_ail+m_ail-p_ail-n_ail)-Long_tot/30</f>
        <v>-1099.5</v>
      </c>
      <c r="D139" s="209">
        <f>-D_ail/2</f>
        <v>-52</v>
      </c>
      <c r="E139" s="93"/>
      <c r="K139" s="46"/>
    </row>
    <row r="140" spans="2:11" x14ac:dyDescent="0.2">
      <c r="B140" s="192" t="str">
        <f>IF(Lang="Français","Emplanture","Root edge")</f>
        <v>Emplanture</v>
      </c>
      <c r="C140" s="197">
        <f>-X_ail+m_ail</f>
        <v>-825</v>
      </c>
      <c r="D140" s="207">
        <f>D_ail/2+E_ail+Long_tot/20</f>
        <v>233.75</v>
      </c>
      <c r="E140" s="93"/>
      <c r="K140" s="46"/>
    </row>
    <row r="141" spans="2:11" x14ac:dyDescent="0.2">
      <c r="B141" s="195" t="s">
        <v>169</v>
      </c>
      <c r="C141" s="46">
        <f>-X_ail+m_ail/2</f>
        <v>-920</v>
      </c>
      <c r="D141" s="208">
        <f>D_ail/2+E_ail+Long_tot/20</f>
        <v>233.75</v>
      </c>
      <c r="E141" s="93"/>
      <c r="K141" s="46"/>
    </row>
    <row r="142" spans="2:11" x14ac:dyDescent="0.2">
      <c r="B142" s="212" t="s">
        <v>170</v>
      </c>
      <c r="C142" s="200">
        <f>-X_ail</f>
        <v>-1015</v>
      </c>
      <c r="D142" s="209">
        <f>D_ail/2+E_ail+Long_tot/20</f>
        <v>233.75</v>
      </c>
      <c r="E142" s="93"/>
      <c r="K142" s="46"/>
    </row>
    <row r="143" spans="2:11" x14ac:dyDescent="0.2">
      <c r="B143" s="192" t="str">
        <f>IF(p_ail&lt;&gt;0,IF(Lang="Français","Flèche","Offset"),"")</f>
        <v>Flèche</v>
      </c>
      <c r="C143" s="197">
        <f>-X_ail+m_ail</f>
        <v>-825</v>
      </c>
      <c r="D143" s="207">
        <f>-D_ail/2-E_ail-Long_tot/30</f>
        <v>-216.5</v>
      </c>
      <c r="E143" s="93"/>
      <c r="K143" s="46"/>
    </row>
    <row r="144" spans="2:11" x14ac:dyDescent="0.2">
      <c r="B144" s="195" t="s">
        <v>166</v>
      </c>
      <c r="C144" s="46">
        <f>-X_ail+m_ail-p_ail/2</f>
        <v>-915</v>
      </c>
      <c r="D144" s="208">
        <f>-D_ail/2-E_ail-Long_tot/30</f>
        <v>-216.5</v>
      </c>
      <c r="E144" s="93"/>
      <c r="K144" s="46"/>
    </row>
    <row r="145" spans="2:11" x14ac:dyDescent="0.2">
      <c r="B145" s="212" t="s">
        <v>164</v>
      </c>
      <c r="C145" s="200">
        <f>-X_ail+m_ail-p_ail</f>
        <v>-1005</v>
      </c>
      <c r="D145" s="209">
        <f>-D_ail/2-E_ail-Long_tot/30</f>
        <v>-216.5</v>
      </c>
      <c r="E145" s="93"/>
      <c r="K145" s="46"/>
    </row>
    <row r="146" spans="2:11" x14ac:dyDescent="0.2">
      <c r="B146" s="192" t="str">
        <f>IF(n_ail&gt;0,IF(Lang="Français","Saumon","Tip edge"),"")</f>
        <v>Saumon</v>
      </c>
      <c r="C146" s="197">
        <f>-X_ail+m_ail-p_ail</f>
        <v>-1005</v>
      </c>
      <c r="D146" s="207">
        <f>-D_ail/2-E_ail-Long_tot/20</f>
        <v>-233.75</v>
      </c>
      <c r="E146" s="93"/>
      <c r="K146" s="46"/>
    </row>
    <row r="147" spans="2:11" x14ac:dyDescent="0.2">
      <c r="B147" s="195" t="s">
        <v>168</v>
      </c>
      <c r="C147" s="46">
        <f>-X_ail+m_ail-p_ail-n_ail/2</f>
        <v>-1035</v>
      </c>
      <c r="D147" s="208">
        <f>-D_ail/2-E_ail-Long_tot/20</f>
        <v>-233.75</v>
      </c>
      <c r="E147" s="93"/>
      <c r="K147" s="46"/>
    </row>
    <row r="148" spans="2:11" x14ac:dyDescent="0.2">
      <c r="B148" s="212" t="s">
        <v>165</v>
      </c>
      <c r="C148" s="200">
        <f>-X_ail+m_ail-p_ail-n_ail</f>
        <v>-1065</v>
      </c>
      <c r="D148" s="209">
        <f>-D_ail/2-E_ail-Long_tot/20</f>
        <v>-233.75</v>
      </c>
      <c r="E148" s="93"/>
      <c r="K148" s="46"/>
    </row>
    <row r="149" spans="2:11" x14ac:dyDescent="0.2">
      <c r="B149" s="183" t="s">
        <v>83</v>
      </c>
      <c r="C149" s="197">
        <f ca="1">-XcgPlein</f>
        <v>-374.75523145212424</v>
      </c>
      <c r="D149" s="207">
        <v>0</v>
      </c>
      <c r="E149" s="93"/>
      <c r="K149" s="46"/>
    </row>
    <row r="150" spans="2:11" x14ac:dyDescent="0.2">
      <c r="B150" s="187" t="s">
        <v>84</v>
      </c>
      <c r="C150" s="200">
        <f ca="1">-XcgVide</f>
        <v>-310.14652656158779</v>
      </c>
      <c r="D150" s="209">
        <v>0</v>
      </c>
      <c r="E150" s="93"/>
      <c r="K150" s="46"/>
    </row>
    <row r="151" spans="2:11" x14ac:dyDescent="0.2">
      <c r="B151" s="183" t="s">
        <v>85</v>
      </c>
      <c r="C151" s="197">
        <f>-XCp</f>
        <v>-763.14428270800784</v>
      </c>
      <c r="D151" s="207">
        <v>0</v>
      </c>
      <c r="E151" s="93"/>
      <c r="K151" s="46"/>
    </row>
    <row r="152" spans="2:11" x14ac:dyDescent="0.2">
      <c r="B152" s="187" t="s">
        <v>85</v>
      </c>
      <c r="C152" s="200">
        <f>-XCp</f>
        <v>-763.14428270800784</v>
      </c>
      <c r="D152" s="209">
        <f>Cn*D_ref/CritCnmin</f>
        <v>100.88770961452744</v>
      </c>
      <c r="E152" s="93"/>
      <c r="K152" s="46"/>
    </row>
    <row r="153" spans="2:11" x14ac:dyDescent="0.2">
      <c r="B153" s="185" t="s">
        <v>422</v>
      </c>
      <c r="C153" s="46">
        <f>-XCp0</f>
        <v>-763.14428270800784</v>
      </c>
      <c r="D153" s="208">
        <f>Cn0*D_ref/CritCnmin</f>
        <v>100.88770961452744</v>
      </c>
      <c r="E153" s="93"/>
      <c r="K153" s="46"/>
    </row>
    <row r="154" spans="2:11" x14ac:dyDescent="0.2">
      <c r="B154" s="185" t="s">
        <v>422</v>
      </c>
      <c r="C154" s="46">
        <f>-XCp0</f>
        <v>-763.14428270800784</v>
      </c>
      <c r="D154" s="208">
        <v>0</v>
      </c>
      <c r="E154" s="93"/>
      <c r="K154" s="46"/>
    </row>
    <row r="155" spans="2:11" x14ac:dyDescent="0.2">
      <c r="B155" s="192" t="str">
        <f>IF(n_ail&gt;0,IF(Lang="Français","Marge Statique","Static Margin"),"")</f>
        <v>Marge Statique</v>
      </c>
      <c r="C155" s="197">
        <f ca="1">(-XcgPlein-XcgVide)/2</f>
        <v>-342.45087900685598</v>
      </c>
      <c r="D155" s="207">
        <f>-D_ail/2-E_ail-Long_tot/20</f>
        <v>-233.75</v>
      </c>
      <c r="E155" s="93"/>
      <c r="K155" s="46"/>
    </row>
    <row r="156" spans="2:11" x14ac:dyDescent="0.2">
      <c r="B156" s="195" t="s">
        <v>171</v>
      </c>
      <c r="C156" s="46">
        <f ca="1">(C155+C157)/2</f>
        <v>-552.79758085743197</v>
      </c>
      <c r="D156" s="208">
        <f>-D_ail/2-E_ail-Long_tot/20</f>
        <v>-233.75</v>
      </c>
      <c r="E156" s="93"/>
      <c r="K156" s="46"/>
    </row>
    <row r="157" spans="2:11" x14ac:dyDescent="0.2">
      <c r="B157" s="212" t="s">
        <v>172</v>
      </c>
      <c r="C157" s="200">
        <f>-XCp</f>
        <v>-763.14428270800784</v>
      </c>
      <c r="D157" s="209">
        <f>-D_ail/2-E_ail-Long_tot/20</f>
        <v>-233.75</v>
      </c>
      <c r="E157" s="93"/>
      <c r="K157" s="46"/>
    </row>
    <row r="158" spans="2:11" x14ac:dyDescent="0.2">
      <c r="B158" s="183" t="s">
        <v>86</v>
      </c>
      <c r="C158" s="197">
        <f>IF(LEFT(Type_masquage,1)="M",0,-X_can+m_can)</f>
        <v>0</v>
      </c>
      <c r="D158" s="197">
        <f>IF(LEFT(Type_masquage,1)="M",0,D_ail/2)</f>
        <v>0</v>
      </c>
      <c r="E158" s="198">
        <f t="shared" ref="E158:E167" si="1">-D158</f>
        <v>0</v>
      </c>
      <c r="K158" s="46"/>
    </row>
    <row r="159" spans="2:11" x14ac:dyDescent="0.2">
      <c r="B159" s="185" t="s">
        <v>87</v>
      </c>
      <c r="C159" s="46">
        <f>IF(LEFT(Type_masquage,1)="M",0,-X_can+m_can-p_can)</f>
        <v>0</v>
      </c>
      <c r="D159" s="46">
        <f>IF(LEFT(Type_masquage,1)="M",0,D_ail/2+E_can)</f>
        <v>0</v>
      </c>
      <c r="E159" s="199">
        <f t="shared" si="1"/>
        <v>0</v>
      </c>
      <c r="K159" s="46"/>
    </row>
    <row r="160" spans="2:11" x14ac:dyDescent="0.2">
      <c r="B160" s="185" t="s">
        <v>88</v>
      </c>
      <c r="C160" s="46">
        <f>IF(LEFT(Type_masquage,1)="M",0,-X_can+m_can-p_can-n_can)</f>
        <v>0</v>
      </c>
      <c r="D160" s="46">
        <f>IF(LEFT(Type_masquage,1)="M",0,D_ail/2+E_can)</f>
        <v>0</v>
      </c>
      <c r="E160" s="199">
        <f t="shared" si="1"/>
        <v>0</v>
      </c>
      <c r="K160" s="46"/>
    </row>
    <row r="161" spans="2:11" x14ac:dyDescent="0.2">
      <c r="B161" s="185" t="s">
        <v>89</v>
      </c>
      <c r="C161" s="46">
        <f>IF(LEFT(Type_masquage,1)="M",0,-X_can)</f>
        <v>0</v>
      </c>
      <c r="D161" s="46">
        <f>IF(LEFT(Type_masquage,1)="M",0,D_ail/2)</f>
        <v>0</v>
      </c>
      <c r="E161" s="199">
        <f t="shared" si="1"/>
        <v>0</v>
      </c>
      <c r="K161" s="46"/>
    </row>
    <row r="162" spans="2:11" x14ac:dyDescent="0.2">
      <c r="B162" s="187" t="s">
        <v>86</v>
      </c>
      <c r="C162" s="200">
        <f>IF(LEFT(Type_masquage,1)="M",0,-X_can+m_can)</f>
        <v>0</v>
      </c>
      <c r="D162" s="200">
        <f>IF(LEFT(Type_masquage,1)="M",0,D_ail/2)</f>
        <v>0</v>
      </c>
      <c r="E162" s="201">
        <f t="shared" si="1"/>
        <v>0</v>
      </c>
      <c r="K162" s="46"/>
    </row>
    <row r="163" spans="2:11" x14ac:dyDescent="0.2">
      <c r="B163" s="183" t="s">
        <v>90</v>
      </c>
      <c r="C163" s="197">
        <f>IF(LEFT(Type_masquage,1)="B",-X_int+m_int,0)</f>
        <v>0</v>
      </c>
      <c r="D163" s="197">
        <f>IF(LEFT(Type_masquage,1)="B",D_int/2,0)</f>
        <v>0</v>
      </c>
      <c r="E163" s="198">
        <f t="shared" si="1"/>
        <v>0</v>
      </c>
      <c r="K163" s="46"/>
    </row>
    <row r="164" spans="2:11" x14ac:dyDescent="0.2">
      <c r="B164" s="185" t="s">
        <v>91</v>
      </c>
      <c r="C164" s="46">
        <f>IF(LEFT(Type_masquage,1)="B",-X_int+m_int-p_int,0)</f>
        <v>0</v>
      </c>
      <c r="D164" s="46">
        <f>IF(LEFT(Type_masquage,1)="B",D_int/2+E_int,0)</f>
        <v>0</v>
      </c>
      <c r="E164" s="199">
        <f t="shared" si="1"/>
        <v>0</v>
      </c>
      <c r="K164" s="46"/>
    </row>
    <row r="165" spans="2:11" x14ac:dyDescent="0.2">
      <c r="B165" s="185" t="s">
        <v>92</v>
      </c>
      <c r="C165" s="46">
        <f>IF(LEFT(Type_masquage,1)="B",-X_int+m_int-p_int-n_int,0)</f>
        <v>0</v>
      </c>
      <c r="D165" s="46">
        <f>IF(LEFT(Type_masquage,1)="B",D_int/2+E_int,0)</f>
        <v>0</v>
      </c>
      <c r="E165" s="199">
        <f t="shared" si="1"/>
        <v>0</v>
      </c>
      <c r="K165" s="46"/>
    </row>
    <row r="166" spans="2:11" x14ac:dyDescent="0.2">
      <c r="B166" s="185" t="s">
        <v>93</v>
      </c>
      <c r="C166" s="46">
        <f>IF(LEFT(Type_masquage,1)="B",-X_int,0)</f>
        <v>0</v>
      </c>
      <c r="D166" s="46">
        <f>IF(LEFT(Type_masquage,1)="B",D_int/2,0)</f>
        <v>0</v>
      </c>
      <c r="E166" s="199">
        <f t="shared" si="1"/>
        <v>0</v>
      </c>
      <c r="K166" s="46"/>
    </row>
    <row r="167" spans="2:11" x14ac:dyDescent="0.2">
      <c r="B167" s="187" t="s">
        <v>90</v>
      </c>
      <c r="C167" s="200">
        <f>IF(LEFT(Type_masquage,1)="B",-X_int+m_int,0)</f>
        <v>0</v>
      </c>
      <c r="D167" s="200">
        <f>IF(LEFT(Type_masquage,1)="B",D_int/2,0)</f>
        <v>0</v>
      </c>
      <c r="E167" s="201">
        <f t="shared" si="1"/>
        <v>0</v>
      </c>
      <c r="K167" s="46"/>
    </row>
    <row r="168" spans="2:11" x14ac:dyDescent="0.2">
      <c r="B168" s="45" t="s">
        <v>94</v>
      </c>
      <c r="C168" s="46">
        <f>-MAX(Long_tot, X_ail-m_ail+p_ail+n_ail, (E_ail+D_ail/2)*3.2)*1.01</f>
        <v>-1075.6500000000001</v>
      </c>
      <c r="D168" s="46">
        <f>MAX(E_ail+D_ail/2, Long_tot/3)</f>
        <v>345</v>
      </c>
      <c r="E168" s="93"/>
      <c r="K168" s="46"/>
    </row>
    <row r="169" spans="2:11" x14ac:dyDescent="0.2">
      <c r="B169" s="45" t="s">
        <v>94</v>
      </c>
      <c r="C169" s="46">
        <f>C168</f>
        <v>-1075.6500000000001</v>
      </c>
      <c r="D169" s="46">
        <f>-D168</f>
        <v>-345</v>
      </c>
      <c r="E169" s="93"/>
      <c r="K169" s="46"/>
    </row>
    <row r="170" spans="2:11" x14ac:dyDescent="0.2">
      <c r="B170" s="183" t="s">
        <v>95</v>
      </c>
      <c r="C170" s="197">
        <f ca="1">-XpropuRef+Long_propu</f>
        <v>-547</v>
      </c>
      <c r="D170" s="207">
        <f ca="1">-Diam_propu/2</f>
        <v>-27</v>
      </c>
      <c r="E170" s="93"/>
      <c r="K170" s="46"/>
    </row>
    <row r="171" spans="2:11" x14ac:dyDescent="0.2">
      <c r="B171" s="185" t="s">
        <v>96</v>
      </c>
      <c r="C171" s="46">
        <f ca="1">-XpropuRef+Long_propu</f>
        <v>-547</v>
      </c>
      <c r="D171" s="208">
        <f ca="1">Diam_propu/2</f>
        <v>27</v>
      </c>
      <c r="E171" s="93"/>
      <c r="K171" s="46"/>
    </row>
    <row r="172" spans="2:11" x14ac:dyDescent="0.2">
      <c r="B172" s="185" t="s">
        <v>97</v>
      </c>
      <c r="C172" s="46">
        <f>-XpropuRef</f>
        <v>-1035</v>
      </c>
      <c r="D172" s="208">
        <f ca="1">Diam_propu/2</f>
        <v>27</v>
      </c>
      <c r="E172" s="93"/>
      <c r="K172" s="46"/>
    </row>
    <row r="173" spans="2:11" x14ac:dyDescent="0.2">
      <c r="B173" s="185" t="s">
        <v>98</v>
      </c>
      <c r="C173" s="46">
        <f>-XpropuRef</f>
        <v>-1035</v>
      </c>
      <c r="D173" s="208">
        <f ca="1">-Diam_propu/2</f>
        <v>-27</v>
      </c>
      <c r="E173" s="93"/>
      <c r="K173" s="46"/>
    </row>
    <row r="174" spans="2:11" x14ac:dyDescent="0.2">
      <c r="B174" s="187" t="s">
        <v>99</v>
      </c>
      <c r="C174" s="200">
        <f ca="1">-XpropuRef+Long_propu</f>
        <v>-547</v>
      </c>
      <c r="D174" s="209">
        <f ca="1">-Diam_propu/2</f>
        <v>-27</v>
      </c>
      <c r="E174" s="93"/>
      <c r="F174" s="192" t="s">
        <v>160</v>
      </c>
      <c r="G174" s="193" t="s">
        <v>161</v>
      </c>
      <c r="H174" s="194" t="s">
        <v>162</v>
      </c>
      <c r="K174" s="46"/>
    </row>
    <row r="175" spans="2:11" x14ac:dyDescent="0.2">
      <c r="B175" s="183" t="s">
        <v>72</v>
      </c>
      <c r="C175" s="197">
        <v>0</v>
      </c>
      <c r="D175" s="197">
        <v>0</v>
      </c>
      <c r="E175" s="198">
        <f t="shared" ref="E175:E180" si="2">-D175</f>
        <v>0</v>
      </c>
      <c r="F175" s="195">
        <v>0</v>
      </c>
      <c r="G175" s="45">
        <v>0</v>
      </c>
      <c r="H175" s="189">
        <v>0</v>
      </c>
      <c r="K175" s="46"/>
    </row>
    <row r="176" spans="2:11" x14ac:dyDescent="0.2">
      <c r="B176" s="185" t="s">
        <v>73</v>
      </c>
      <c r="C176" s="46">
        <f>-Long_ogive*0.1</f>
        <v>-0.1</v>
      </c>
      <c r="D176" s="46">
        <f>IF(LEFT(Forme_ogive,5)="Parab",H176,IF(LEFT(Forme_ogive,4)="Ogiv",G176,IF(LEFT(Forme_ogive,3)="Con",F176)))</f>
        <v>4.2</v>
      </c>
      <c r="E176" s="199">
        <f t="shared" si="2"/>
        <v>-4.2</v>
      </c>
      <c r="F176" s="185">
        <f>D_og/2*0.1</f>
        <v>4.2</v>
      </c>
      <c r="G176" s="45">
        <f>D_og/2*0.2</f>
        <v>8.4</v>
      </c>
      <c r="H176" s="189">
        <f>D_og/2*0.5</f>
        <v>21</v>
      </c>
      <c r="K176" s="46"/>
    </row>
    <row r="177" spans="2:11" x14ac:dyDescent="0.2">
      <c r="B177" s="185" t="s">
        <v>73</v>
      </c>
      <c r="C177" s="46">
        <f>-Long_ogive/4</f>
        <v>-0.25</v>
      </c>
      <c r="D177" s="46">
        <f>IF(LEFT(Forme_ogive,5)="Parab",H177,IF(LEFT(Forme_ogive,4)="Ogiv",G177,IF(LEFT(Forme_ogive,3)="Con",F177)))</f>
        <v>10.5</v>
      </c>
      <c r="E177" s="199">
        <f t="shared" si="2"/>
        <v>-10.5</v>
      </c>
      <c r="F177" s="185">
        <f>D_og/2*1/4</f>
        <v>10.5</v>
      </c>
      <c r="G177" s="45">
        <f>D_og/2/2</f>
        <v>21</v>
      </c>
      <c r="H177" s="189">
        <f>D_og/2*0.7</f>
        <v>29.4</v>
      </c>
      <c r="K177" s="46"/>
    </row>
    <row r="178" spans="2:11" x14ac:dyDescent="0.2">
      <c r="B178" s="185" t="s">
        <v>73</v>
      </c>
      <c r="C178" s="46">
        <f>-Long_ogive/2</f>
        <v>-0.5</v>
      </c>
      <c r="D178" s="46">
        <f>IF(LEFT(Forme_ogive,5)="Parab",H178,IF(LEFT(Forme_ogive,4)="Ogiv",G178,IF(LEFT(Forme_ogive,3)="Con",F178)))</f>
        <v>21</v>
      </c>
      <c r="E178" s="199">
        <f t="shared" si="2"/>
        <v>-21</v>
      </c>
      <c r="F178" s="185">
        <f>D_og/2/2</f>
        <v>21</v>
      </c>
      <c r="G178" s="45">
        <f>D_og/2*3/4</f>
        <v>31.5</v>
      </c>
      <c r="H178" s="189">
        <f>D_og/2*0.88</f>
        <v>36.96</v>
      </c>
      <c r="K178" s="46"/>
    </row>
    <row r="179" spans="2:11" x14ac:dyDescent="0.2">
      <c r="B179" s="185" t="s">
        <v>73</v>
      </c>
      <c r="C179" s="46">
        <f>-Long_ogive*3/4</f>
        <v>-0.75</v>
      </c>
      <c r="D179" s="46">
        <f>IF(LEFT(Forme_ogive,5)="Parab",H179,IF(LEFT(Forme_ogive,4)="Ogiv",G179,IF(LEFT(Forme_ogive,3)="Con",F179)))</f>
        <v>31.5</v>
      </c>
      <c r="E179" s="199">
        <f t="shared" si="2"/>
        <v>-31.5</v>
      </c>
      <c r="F179" s="185">
        <f>D_og/2*3/4</f>
        <v>31.5</v>
      </c>
      <c r="G179" s="45">
        <f>D_og/2*0.9</f>
        <v>37.800000000000004</v>
      </c>
      <c r="H179" s="189">
        <f>D_og/2*0.95</f>
        <v>39.9</v>
      </c>
      <c r="K179" s="46"/>
    </row>
    <row r="180" spans="2:11" x14ac:dyDescent="0.2">
      <c r="B180" s="187" t="s">
        <v>73</v>
      </c>
      <c r="C180" s="200">
        <f>-Long_ogive</f>
        <v>-1</v>
      </c>
      <c r="D180" s="200">
        <f>D_og/2</f>
        <v>42</v>
      </c>
      <c r="E180" s="201">
        <f t="shared" si="2"/>
        <v>-42</v>
      </c>
      <c r="F180" s="187">
        <f>D_og/2</f>
        <v>42</v>
      </c>
      <c r="G180" s="196">
        <f>D_og/2</f>
        <v>42</v>
      </c>
      <c r="H180" s="190">
        <f>D_og/2</f>
        <v>42</v>
      </c>
      <c r="K180" s="26"/>
    </row>
    <row r="181" spans="2:11" x14ac:dyDescent="0.2">
      <c r="B181" s="45" t="s">
        <v>100</v>
      </c>
      <c r="C181" s="45" t="s">
        <v>101</v>
      </c>
      <c r="D181" s="183" t="s">
        <v>100</v>
      </c>
      <c r="E181" s="204" t="s">
        <v>101</v>
      </c>
      <c r="K181" s="45"/>
    </row>
    <row r="182" spans="2:11" x14ac:dyDescent="0.2">
      <c r="B182" s="183">
        <v>0</v>
      </c>
      <c r="C182" s="202">
        <f>CritCnmin</f>
        <v>15</v>
      </c>
      <c r="D182" s="185">
        <v>0.5</v>
      </c>
      <c r="E182" s="205">
        <f t="shared" ref="E182:E187" si="3">CritMsCnmin/D182</f>
        <v>80</v>
      </c>
      <c r="K182" s="45"/>
    </row>
    <row r="183" spans="2:11" x14ac:dyDescent="0.2">
      <c r="B183" s="187">
        <v>7</v>
      </c>
      <c r="C183" s="196">
        <f>CritCnmin</f>
        <v>15</v>
      </c>
      <c r="D183" s="185">
        <v>1</v>
      </c>
      <c r="E183" s="205">
        <f t="shared" si="3"/>
        <v>40</v>
      </c>
      <c r="K183" s="45"/>
    </row>
    <row r="184" spans="2:11" x14ac:dyDescent="0.2">
      <c r="B184" s="183">
        <v>0</v>
      </c>
      <c r="C184" s="202">
        <f>CritCnmax</f>
        <v>40</v>
      </c>
      <c r="D184" s="185">
        <v>2</v>
      </c>
      <c r="E184" s="205">
        <f t="shared" si="3"/>
        <v>20</v>
      </c>
      <c r="K184" s="45"/>
    </row>
    <row r="185" spans="2:11" x14ac:dyDescent="0.2">
      <c r="B185" s="187">
        <v>7</v>
      </c>
      <c r="C185" s="196">
        <f>CritCnmax</f>
        <v>40</v>
      </c>
      <c r="D185" s="185">
        <v>3</v>
      </c>
      <c r="E185" s="205">
        <f t="shared" si="3"/>
        <v>13.333333333333334</v>
      </c>
      <c r="K185" s="45"/>
    </row>
    <row r="186" spans="2:11" x14ac:dyDescent="0.2">
      <c r="B186" s="183">
        <f>CritMsmin</f>
        <v>2</v>
      </c>
      <c r="C186" s="202">
        <v>0</v>
      </c>
      <c r="D186" s="185">
        <v>5</v>
      </c>
      <c r="E186" s="205">
        <f t="shared" si="3"/>
        <v>8</v>
      </c>
      <c r="K186" s="45"/>
    </row>
    <row r="187" spans="2:11" x14ac:dyDescent="0.2">
      <c r="B187" s="187">
        <f>CritMsmin</f>
        <v>2</v>
      </c>
      <c r="C187" s="196">
        <v>55</v>
      </c>
      <c r="D187" s="185">
        <v>7</v>
      </c>
      <c r="E187" s="205">
        <f t="shared" si="3"/>
        <v>5.7142857142857144</v>
      </c>
      <c r="K187" s="45"/>
    </row>
    <row r="188" spans="2:11" x14ac:dyDescent="0.2">
      <c r="B188" s="183">
        <f>CritMsmax</f>
        <v>6</v>
      </c>
      <c r="C188" s="202">
        <v>0</v>
      </c>
      <c r="D188" s="185">
        <v>1</v>
      </c>
      <c r="E188" s="205">
        <f t="shared" ref="E188:E193" si="4">CritMsCnmax/D188</f>
        <v>100</v>
      </c>
      <c r="K188" s="45"/>
    </row>
    <row r="189" spans="2:11" x14ac:dyDescent="0.2">
      <c r="B189" s="187">
        <f>CritMsmax</f>
        <v>6</v>
      </c>
      <c r="C189" s="196">
        <v>55</v>
      </c>
      <c r="D189" s="185">
        <v>2</v>
      </c>
      <c r="E189" s="205">
        <f t="shared" si="4"/>
        <v>50</v>
      </c>
      <c r="K189" s="45"/>
    </row>
    <row r="190" spans="2:11" x14ac:dyDescent="0.2">
      <c r="B190" s="191">
        <f ca="1">MS_min</f>
        <v>3.7345101082296499</v>
      </c>
      <c r="C190" s="203">
        <f>Cn</f>
        <v>14.551111963633765</v>
      </c>
      <c r="D190" s="185">
        <v>3</v>
      </c>
      <c r="E190" s="205">
        <f t="shared" si="4"/>
        <v>33.333333333333336</v>
      </c>
      <c r="K190" s="45"/>
    </row>
    <row r="191" spans="2:11" x14ac:dyDescent="0.2">
      <c r="B191" s="514">
        <f ca="1">(XCp0-XcgPlein)/D_ref</f>
        <v>3.7345101082296499</v>
      </c>
      <c r="C191" s="515">
        <f>Cn0</f>
        <v>14.551111963633765</v>
      </c>
      <c r="D191" s="185">
        <v>4</v>
      </c>
      <c r="E191" s="205">
        <f t="shared" si="4"/>
        <v>25</v>
      </c>
      <c r="K191" s="45"/>
    </row>
    <row r="192" spans="2:11" x14ac:dyDescent="0.2">
      <c r="B192" s="514">
        <f ca="1">(XCp0-XcgVide)/D_ref</f>
        <v>4.3557476552540386</v>
      </c>
      <c r="C192" s="515">
        <f>Cn0</f>
        <v>14.551111963633765</v>
      </c>
      <c r="D192" s="185">
        <v>6</v>
      </c>
      <c r="E192" s="205">
        <f t="shared" si="4"/>
        <v>16.666666666666668</v>
      </c>
      <c r="K192" s="45"/>
    </row>
    <row r="193" spans="2:11" x14ac:dyDescent="0.2">
      <c r="B193" s="514">
        <f ca="1">(XCp-XcgVide)/D_ref</f>
        <v>4.3557476552540386</v>
      </c>
      <c r="C193" s="515">
        <f>Cn</f>
        <v>14.551111963633765</v>
      </c>
      <c r="D193" s="187">
        <v>7</v>
      </c>
      <c r="E193" s="206">
        <f t="shared" si="4"/>
        <v>14.285714285714286</v>
      </c>
      <c r="K193" s="45"/>
    </row>
    <row r="194" spans="2:11" x14ac:dyDescent="0.2">
      <c r="B194" s="514">
        <f ca="1">MS_min</f>
        <v>3.7345101082296499</v>
      </c>
      <c r="C194" s="516">
        <f>Cn</f>
        <v>14.551111963633765</v>
      </c>
      <c r="D194" s="45"/>
      <c r="E194" s="92"/>
      <c r="K194" s="45"/>
    </row>
    <row r="195" spans="2:11" x14ac:dyDescent="0.2">
      <c r="B195" s="183">
        <v>0</v>
      </c>
      <c r="C195" s="202">
        <f>(CritCnmin+CritCnmax)/2</f>
        <v>27.5</v>
      </c>
      <c r="D195" s="26"/>
      <c r="E195" s="90"/>
      <c r="K195" s="26"/>
    </row>
    <row r="196" spans="2:11" x14ac:dyDescent="0.2">
      <c r="B196" s="185">
        <f>MAX(CritMsmin,CritMsCnmin/C196)</f>
        <v>2</v>
      </c>
      <c r="C196" s="45">
        <f>(CritCnmin+CritCnmax)/2</f>
        <v>27.5</v>
      </c>
      <c r="D196" s="26"/>
      <c r="E196" s="90"/>
      <c r="K196" s="26"/>
    </row>
    <row r="197" spans="2:11" x14ac:dyDescent="0.2">
      <c r="B197" s="185">
        <f>MIN(CritMsmax,CritMsCnmax/C197)</f>
        <v>3.6363636363636362</v>
      </c>
      <c r="C197" s="189">
        <f>(CritCnmin+CritCnmax)/2</f>
        <v>27.5</v>
      </c>
    </row>
    <row r="198" spans="2:11" x14ac:dyDescent="0.2">
      <c r="B198" s="187">
        <v>7</v>
      </c>
      <c r="C198" s="190">
        <f>(CritCnmin+CritCnmax)/2</f>
        <v>27.5</v>
      </c>
    </row>
    <row r="199" spans="2:11" x14ac:dyDescent="0.2">
      <c r="B199" s="183">
        <f>(CritMsmin+CritMsmax)/2</f>
        <v>4</v>
      </c>
      <c r="C199" s="184">
        <v>0</v>
      </c>
    </row>
    <row r="200" spans="2:11" x14ac:dyDescent="0.2">
      <c r="B200" s="185">
        <f>(CritMsmin+CritMsmax)/2</f>
        <v>4</v>
      </c>
      <c r="C200" s="186">
        <f>MAX(CritCnmin,CritMsCnmin/B200)</f>
        <v>15</v>
      </c>
    </row>
    <row r="201" spans="2:11" x14ac:dyDescent="0.2">
      <c r="B201" s="185">
        <f>(CritMsmin+CritMsmax)/2</f>
        <v>4</v>
      </c>
      <c r="C201" s="186">
        <f>MIN(CritCnmax,CritMsCnmax/B201)</f>
        <v>25</v>
      </c>
    </row>
    <row r="202" spans="2:11" x14ac:dyDescent="0.2">
      <c r="B202" s="187">
        <f>(CritMsmin+CritMsmax)/2</f>
        <v>4</v>
      </c>
      <c r="C202" s="188">
        <v>55</v>
      </c>
    </row>
    <row r="203" spans="2:11" x14ac:dyDescent="0.2">
      <c r="D203" s="475"/>
    </row>
    <row r="204" spans="2:11" x14ac:dyDescent="0.2">
      <c r="B204" s="477" t="s">
        <v>405</v>
      </c>
      <c r="C204" s="31" t="b">
        <f ca="1">(OR(C205:C210))</f>
        <v>1</v>
      </c>
      <c r="D204" s="475"/>
    </row>
    <row r="205" spans="2:11" x14ac:dyDescent="0.2">
      <c r="B205" s="476" t="s">
        <v>402</v>
      </c>
      <c r="C205" s="475" t="b">
        <f ca="1">AND(Type_propu="H2O",RIGHT(Type_fusee,1)=" ")</f>
        <v>0</v>
      </c>
      <c r="D205" s="475"/>
    </row>
    <row r="206" spans="2:11" x14ac:dyDescent="0.2">
      <c r="B206" s="476" t="s">
        <v>119</v>
      </c>
      <c r="C206" s="475" t="b">
        <f ca="1">AND(Type_propu="Fusex",RIGHT(Type_fusee,1)=".")</f>
        <v>1</v>
      </c>
      <c r="D206" s="475"/>
    </row>
    <row r="207" spans="2:11" x14ac:dyDescent="0.2">
      <c r="B207" s="476" t="s">
        <v>403</v>
      </c>
      <c r="C207" s="475" t="b">
        <f ca="1">LEFT(Type_propu,5)=LEFT(Type_fusee,5)</f>
        <v>0</v>
      </c>
      <c r="D207" s="475"/>
    </row>
    <row r="208" spans="2:11" x14ac:dyDescent="0.2">
      <c r="B208" s="476" t="s">
        <v>404</v>
      </c>
      <c r="C208" s="475" t="b">
        <f ca="1">AND(RIGHT(Type_propu,1)="N",LEFT(Type_fusee,4)="Mini")</f>
        <v>0</v>
      </c>
      <c r="D208" s="475"/>
    </row>
    <row r="209" spans="1:3" x14ac:dyDescent="0.2">
      <c r="B209" s="476" t="s">
        <v>406</v>
      </c>
      <c r="C209" s="475" t="b">
        <f ca="1">AND(LEFT(Type_propu,5)="MiniR",LEFT(Type_fusee,1)="R")</f>
        <v>0</v>
      </c>
    </row>
    <row r="210" spans="1:3" x14ac:dyDescent="0.2">
      <c r="B210" s="476" t="s">
        <v>396</v>
      </c>
      <c r="C210" s="475" t="b">
        <f ca="1">AND(LEFT(Type_propu,4)="Mini",LEFT(Type_fusee,1)=",")</f>
        <v>0</v>
      </c>
    </row>
    <row r="223" spans="1:3" x14ac:dyDescent="0.2">
      <c r="A223" s="24" t="s">
        <v>463</v>
      </c>
    </row>
    <row r="226" spans="1:1" x14ac:dyDescent="0.2">
      <c r="A226" s="24" t="s">
        <v>476</v>
      </c>
    </row>
    <row r="228" spans="1:1" x14ac:dyDescent="0.2">
      <c r="A228" s="24" t="s">
        <v>477</v>
      </c>
    </row>
    <row r="230" spans="1:1" x14ac:dyDescent="0.2">
      <c r="A230" s="24" t="s">
        <v>478</v>
      </c>
    </row>
    <row r="232" spans="1:1" x14ac:dyDescent="0.2">
      <c r="A232" s="24" t="s">
        <v>479</v>
      </c>
    </row>
    <row r="233" spans="1:1" x14ac:dyDescent="0.2">
      <c r="A233" s="24" t="s">
        <v>480</v>
      </c>
    </row>
    <row r="234" spans="1:1" x14ac:dyDescent="0.2">
      <c r="A234" s="24" t="s">
        <v>481</v>
      </c>
    </row>
    <row r="235" spans="1:1" x14ac:dyDescent="0.2">
      <c r="A235" s="24" t="s">
        <v>482</v>
      </c>
    </row>
    <row r="236" spans="1:1" x14ac:dyDescent="0.2">
      <c r="A236" s="24" t="s">
        <v>483</v>
      </c>
    </row>
    <row r="237" spans="1:1" x14ac:dyDescent="0.2">
      <c r="A237" s="24" t="s">
        <v>484</v>
      </c>
    </row>
    <row r="238" spans="1:1" x14ac:dyDescent="0.2">
      <c r="A238" s="24" t="s">
        <v>184</v>
      </c>
    </row>
    <row r="239" spans="1:1" x14ac:dyDescent="0.2">
      <c r="A239" s="24" t="s">
        <v>485</v>
      </c>
    </row>
    <row r="240" spans="1:1" x14ac:dyDescent="0.2">
      <c r="A240" s="24" t="s">
        <v>486</v>
      </c>
    </row>
    <row r="241" spans="1:1" x14ac:dyDescent="0.2">
      <c r="A241" s="24" t="s">
        <v>184</v>
      </c>
    </row>
    <row r="242" spans="1:1" x14ac:dyDescent="0.2">
      <c r="A242" s="24" t="s">
        <v>487</v>
      </c>
    </row>
    <row r="244" spans="1:1" x14ac:dyDescent="0.2">
      <c r="A244" s="24" t="s">
        <v>488</v>
      </c>
    </row>
    <row r="246" spans="1:1" x14ac:dyDescent="0.2">
      <c r="A246" s="24" t="s">
        <v>489</v>
      </c>
    </row>
    <row r="248" spans="1:1" x14ac:dyDescent="0.2">
      <c r="A248" s="24" t="s">
        <v>490</v>
      </c>
    </row>
    <row r="249" spans="1:1" x14ac:dyDescent="0.2">
      <c r="A249" s="24" t="s">
        <v>491</v>
      </c>
    </row>
    <row r="250" spans="1:1" x14ac:dyDescent="0.2">
      <c r="A250" s="24" t="s">
        <v>492</v>
      </c>
    </row>
    <row r="251" spans="1:1" x14ac:dyDescent="0.2">
      <c r="A251" s="24" t="s">
        <v>493</v>
      </c>
    </row>
    <row r="252" spans="1:1" x14ac:dyDescent="0.2">
      <c r="A252" s="24" t="s">
        <v>494</v>
      </c>
    </row>
    <row r="254" spans="1:1" x14ac:dyDescent="0.2">
      <c r="A254" s="24" t="s">
        <v>495</v>
      </c>
    </row>
    <row r="255" spans="1:1" x14ac:dyDescent="0.2">
      <c r="A255" s="24" t="s">
        <v>496</v>
      </c>
    </row>
    <row r="256" spans="1:1" x14ac:dyDescent="0.2">
      <c r="A256" s="24" t="s">
        <v>497</v>
      </c>
    </row>
    <row r="257" spans="1:1" x14ac:dyDescent="0.2">
      <c r="A257" s="24" t="s">
        <v>498</v>
      </c>
    </row>
    <row r="258" spans="1:1" x14ac:dyDescent="0.2">
      <c r="A258" s="24" t="s">
        <v>499</v>
      </c>
    </row>
    <row r="261" spans="1:1" x14ac:dyDescent="0.2">
      <c r="A261" s="24" t="s">
        <v>500</v>
      </c>
    </row>
    <row r="262" spans="1:1" x14ac:dyDescent="0.2">
      <c r="A262" s="24" t="s">
        <v>501</v>
      </c>
    </row>
    <row r="263" spans="1:1" x14ac:dyDescent="0.2">
      <c r="A263" s="24" t="s">
        <v>502</v>
      </c>
    </row>
    <row r="264" spans="1:1" x14ac:dyDescent="0.2">
      <c r="A264" s="24" t="s">
        <v>503</v>
      </c>
    </row>
    <row r="265" spans="1:1" x14ac:dyDescent="0.2">
      <c r="A265" s="24" t="s">
        <v>504</v>
      </c>
    </row>
    <row r="267" spans="1:1" x14ac:dyDescent="0.2">
      <c r="A267" s="24" t="s">
        <v>497</v>
      </c>
    </row>
    <row r="268" spans="1:1" x14ac:dyDescent="0.2">
      <c r="A268" s="24" t="s">
        <v>498</v>
      </c>
    </row>
    <row r="269" spans="1:1" x14ac:dyDescent="0.2">
      <c r="A269" s="24" t="s">
        <v>505</v>
      </c>
    </row>
    <row r="272" spans="1:1" x14ac:dyDescent="0.2">
      <c r="A272" s="24" t="s">
        <v>465</v>
      </c>
    </row>
    <row r="273" spans="1:1" x14ac:dyDescent="0.2">
      <c r="A273" s="24" t="s">
        <v>466</v>
      </c>
    </row>
    <row r="275" spans="1:1" x14ac:dyDescent="0.2">
      <c r="A275" s="24" t="s">
        <v>506</v>
      </c>
    </row>
    <row r="277" spans="1:1" x14ac:dyDescent="0.2">
      <c r="A277" s="24" t="s">
        <v>505</v>
      </c>
    </row>
    <row r="280" spans="1:1" x14ac:dyDescent="0.2">
      <c r="A280" s="24" t="s">
        <v>467</v>
      </c>
    </row>
    <row r="281" spans="1:1" x14ac:dyDescent="0.2">
      <c r="A281" s="24" t="s">
        <v>468</v>
      </c>
    </row>
    <row r="282" spans="1:1" x14ac:dyDescent="0.2">
      <c r="A282" s="24" t="s">
        <v>507</v>
      </c>
    </row>
    <row r="283" spans="1:1" x14ac:dyDescent="0.2">
      <c r="A283" s="24" t="s">
        <v>508</v>
      </c>
    </row>
    <row r="284" spans="1:1" x14ac:dyDescent="0.2">
      <c r="A284" s="24" t="s">
        <v>505</v>
      </c>
    </row>
    <row r="285" spans="1:1" x14ac:dyDescent="0.2">
      <c r="A285" s="24" t="s">
        <v>469</v>
      </c>
    </row>
    <row r="287" spans="1:1" x14ac:dyDescent="0.2">
      <c r="A287" s="24" t="s">
        <v>509</v>
      </c>
    </row>
    <row r="288" spans="1:1" x14ac:dyDescent="0.2">
      <c r="A288" s="24" t="s">
        <v>507</v>
      </c>
    </row>
    <row r="289" spans="1:1" x14ac:dyDescent="0.2">
      <c r="A289" s="24" t="s">
        <v>510</v>
      </c>
    </row>
    <row r="291" spans="1:1" x14ac:dyDescent="0.2">
      <c r="A291" s="24" t="s">
        <v>505</v>
      </c>
    </row>
    <row r="294" spans="1:1" x14ac:dyDescent="0.2">
      <c r="A294" s="24" t="s">
        <v>511</v>
      </c>
    </row>
    <row r="295" spans="1:1" x14ac:dyDescent="0.2">
      <c r="A295" s="24" t="s">
        <v>512</v>
      </c>
    </row>
    <row r="296" spans="1:1" x14ac:dyDescent="0.2">
      <c r="A296" s="24" t="s">
        <v>513</v>
      </c>
    </row>
    <row r="298" spans="1:1" x14ac:dyDescent="0.2">
      <c r="A298" s="24" t="s">
        <v>505</v>
      </c>
    </row>
    <row r="301" spans="1:1" x14ac:dyDescent="0.2">
      <c r="A301" s="24" t="s">
        <v>514</v>
      </c>
    </row>
    <row r="302" spans="1:1" x14ac:dyDescent="0.2">
      <c r="A302" s="24" t="s">
        <v>515</v>
      </c>
    </row>
    <row r="304" spans="1:1" x14ac:dyDescent="0.2">
      <c r="A304" s="24" t="s">
        <v>516</v>
      </c>
    </row>
    <row r="305" spans="1:1" x14ac:dyDescent="0.2">
      <c r="A305" s="24" t="s">
        <v>517</v>
      </c>
    </row>
    <row r="306" spans="1:1" x14ac:dyDescent="0.2">
      <c r="A306" s="24" t="s">
        <v>505</v>
      </c>
    </row>
    <row r="309" spans="1:1" x14ac:dyDescent="0.2">
      <c r="A309" s="24" t="s">
        <v>514</v>
      </c>
    </row>
    <row r="310" spans="1:1" x14ac:dyDescent="0.2">
      <c r="A310" s="24" t="s">
        <v>518</v>
      </c>
    </row>
    <row r="311" spans="1:1" x14ac:dyDescent="0.2">
      <c r="A311" s="24" t="s">
        <v>514</v>
      </c>
    </row>
    <row r="312" spans="1:1" x14ac:dyDescent="0.2">
      <c r="A312" s="24" t="s">
        <v>519</v>
      </c>
    </row>
    <row r="314" spans="1:1" x14ac:dyDescent="0.2">
      <c r="A314" s="24" t="s">
        <v>520</v>
      </c>
    </row>
    <row r="316" spans="1:1" x14ac:dyDescent="0.2">
      <c r="A316" s="24" t="s">
        <v>505</v>
      </c>
    </row>
    <row r="319" spans="1:1" x14ac:dyDescent="0.2">
      <c r="A319" s="24" t="s">
        <v>514</v>
      </c>
    </row>
    <row r="320" spans="1:1" x14ac:dyDescent="0.2">
      <c r="A320" s="24" t="s">
        <v>521</v>
      </c>
    </row>
    <row r="321" spans="1:1" x14ac:dyDescent="0.2">
      <c r="A321" s="24" t="s">
        <v>522</v>
      </c>
    </row>
    <row r="322" spans="1:1" x14ac:dyDescent="0.2">
      <c r="A322" s="24" t="s">
        <v>523</v>
      </c>
    </row>
    <row r="324" spans="1:1" x14ac:dyDescent="0.2">
      <c r="A324" s="24" t="s">
        <v>505</v>
      </c>
    </row>
    <row r="326" spans="1:1" x14ac:dyDescent="0.2">
      <c r="A326" s="24" t="s">
        <v>464</v>
      </c>
    </row>
    <row r="329" spans="1:1" x14ac:dyDescent="0.2">
      <c r="A329" s="24" t="s">
        <v>470</v>
      </c>
    </row>
    <row r="330" spans="1:1" x14ac:dyDescent="0.2">
      <c r="A330" s="24" t="s">
        <v>471</v>
      </c>
    </row>
    <row r="331" spans="1:1" x14ac:dyDescent="0.2">
      <c r="A331" s="24" t="s">
        <v>524</v>
      </c>
    </row>
    <row r="332" spans="1:1" x14ac:dyDescent="0.2">
      <c r="A332" s="24" t="s">
        <v>525</v>
      </c>
    </row>
    <row r="333" spans="1:1" x14ac:dyDescent="0.2">
      <c r="A333" s="24" t="s">
        <v>526</v>
      </c>
    </row>
    <row r="334" spans="1:1" x14ac:dyDescent="0.2">
      <c r="A334" s="24" t="s">
        <v>527</v>
      </c>
    </row>
    <row r="335" spans="1:1" x14ac:dyDescent="0.2">
      <c r="A335" s="24" t="s">
        <v>528</v>
      </c>
    </row>
    <row r="336" spans="1:1" x14ac:dyDescent="0.2">
      <c r="A336" s="24" t="s">
        <v>481</v>
      </c>
    </row>
    <row r="337" spans="1:1" x14ac:dyDescent="0.2">
      <c r="A337" s="24" t="s">
        <v>472</v>
      </c>
    </row>
    <row r="340" spans="1:1" x14ac:dyDescent="0.2">
      <c r="A340" s="24" t="s">
        <v>473</v>
      </c>
    </row>
    <row r="342" spans="1:1" x14ac:dyDescent="0.2">
      <c r="A342" s="24" t="s">
        <v>529</v>
      </c>
    </row>
    <row r="343" spans="1:1" x14ac:dyDescent="0.2">
      <c r="A343" s="24" t="s">
        <v>530</v>
      </c>
    </row>
    <row r="344" spans="1:1" x14ac:dyDescent="0.2">
      <c r="A344" s="24" t="s">
        <v>531</v>
      </c>
    </row>
    <row r="345" spans="1:1" x14ac:dyDescent="0.2">
      <c r="A345" s="24" t="s">
        <v>532</v>
      </c>
    </row>
    <row r="346" spans="1:1" x14ac:dyDescent="0.2">
      <c r="A346" s="24" t="s">
        <v>533</v>
      </c>
    </row>
    <row r="347" spans="1:1" x14ac:dyDescent="0.2">
      <c r="A347" s="24" t="s">
        <v>481</v>
      </c>
    </row>
    <row r="348" spans="1:1" x14ac:dyDescent="0.2">
      <c r="A348" s="24" t="s">
        <v>474</v>
      </c>
    </row>
    <row r="349" spans="1:1" x14ac:dyDescent="0.2">
      <c r="A349" s="24" t="s">
        <v>534</v>
      </c>
    </row>
    <row r="350" spans="1:1" x14ac:dyDescent="0.2">
      <c r="A350" s="24" t="s">
        <v>535</v>
      </c>
    </row>
    <row r="352" spans="1:1" x14ac:dyDescent="0.2">
      <c r="A352" s="24" t="s">
        <v>505</v>
      </c>
    </row>
    <row r="355" spans="1:1" x14ac:dyDescent="0.2">
      <c r="A355" s="24" t="s">
        <v>464</v>
      </c>
    </row>
    <row r="361" spans="1:1" x14ac:dyDescent="0.2">
      <c r="A361" s="24" t="s">
        <v>475</v>
      </c>
    </row>
  </sheetData>
  <sheetProtection password="C6AC" sheet="1"/>
  <dataConsolidate/>
  <mergeCells count="56">
    <mergeCell ref="C5:D5"/>
    <mergeCell ref="H26:I26"/>
    <mergeCell ref="C16:D16"/>
    <mergeCell ref="C17:D17"/>
    <mergeCell ref="O21:P21"/>
    <mergeCell ref="M21:N21"/>
    <mergeCell ref="O19:P19"/>
    <mergeCell ref="O22:P22"/>
    <mergeCell ref="C20:D20"/>
    <mergeCell ref="C6:D6"/>
    <mergeCell ref="C13:D13"/>
    <mergeCell ref="C8:D8"/>
    <mergeCell ref="C9:D9"/>
    <mergeCell ref="O20:P20"/>
    <mergeCell ref="M23:N23"/>
    <mergeCell ref="M24:N24"/>
    <mergeCell ref="C2:D3"/>
    <mergeCell ref="C4:D4"/>
    <mergeCell ref="M22:N22"/>
    <mergeCell ref="M19:N19"/>
    <mergeCell ref="M9:N9"/>
    <mergeCell ref="M7:N7"/>
    <mergeCell ref="M8:N8"/>
    <mergeCell ref="C7:D7"/>
    <mergeCell ref="C10:D10"/>
    <mergeCell ref="M5:N5"/>
    <mergeCell ref="M6:N6"/>
    <mergeCell ref="M20:N20"/>
    <mergeCell ref="N14:O14"/>
    <mergeCell ref="N15:O15"/>
    <mergeCell ref="M17:N17"/>
    <mergeCell ref="C14:D14"/>
    <mergeCell ref="C26:D26"/>
    <mergeCell ref="C18:D18"/>
    <mergeCell ref="C19:D19"/>
    <mergeCell ref="O23:P23"/>
    <mergeCell ref="O24:P24"/>
    <mergeCell ref="C22:D22"/>
    <mergeCell ref="C21:D21"/>
    <mergeCell ref="C23:D23"/>
    <mergeCell ref="H33:I34"/>
    <mergeCell ref="M4:P4"/>
    <mergeCell ref="M2:P2"/>
    <mergeCell ref="N13:O13"/>
    <mergeCell ref="N12:O12"/>
    <mergeCell ref="O9:P9"/>
    <mergeCell ref="O8:P8"/>
    <mergeCell ref="O7:P7"/>
    <mergeCell ref="H27:I27"/>
    <mergeCell ref="M18:N18"/>
    <mergeCell ref="L3:M3"/>
    <mergeCell ref="N11:O11"/>
    <mergeCell ref="O6:P6"/>
    <mergeCell ref="O5:P5"/>
    <mergeCell ref="O17:P17"/>
    <mergeCell ref="O18:P18"/>
  </mergeCells>
  <phoneticPr fontId="8" type="noConversion"/>
  <conditionalFormatting sqref="B14:D14 B34:C34">
    <cfRule type="expression" dxfId="53" priority="36" stopIfTrue="1">
      <formula>AND(IF(RIGHT(Nb_diam,1)=",",1),IF(LEFT(Type_masquage,1)="M",1))</formula>
    </cfRule>
  </conditionalFormatting>
  <conditionalFormatting sqref="C11">
    <cfRule type="cellIs" dxfId="52" priority="24" stopIfTrue="1" operator="equal">
      <formula>359</formula>
    </cfRule>
    <cfRule type="expression" dxfId="51" priority="27" stopIfTrue="1">
      <formula>OR(MasseSans&lt;MpropuVide, MasseSans&gt;20*MpropuPlein)</formula>
    </cfRule>
  </conditionalFormatting>
  <conditionalFormatting sqref="C12">
    <cfRule type="cellIs" dxfId="50" priority="23" stopIfTrue="1" operator="equal">
      <formula>639</formula>
    </cfRule>
  </conditionalFormatting>
  <conditionalFormatting sqref="C14 C23:D23 C34">
    <cfRule type="cellIs" dxfId="49" priority="20" stopIfTrue="1" operator="equal">
      <formula>59</formula>
    </cfRule>
  </conditionalFormatting>
  <conditionalFormatting sqref="C17">
    <cfRule type="expression" dxfId="48" priority="150" stopIfTrue="1">
      <formula>C204</formula>
    </cfRule>
  </conditionalFormatting>
  <conditionalFormatting sqref="C27 C29">
    <cfRule type="cellIs" dxfId="47" priority="17" stopIfTrue="1" operator="equal">
      <formula>109</formula>
    </cfRule>
  </conditionalFormatting>
  <conditionalFormatting sqref="C28">
    <cfRule type="cellIs" dxfId="46" priority="18" stopIfTrue="1" operator="equal">
      <formula>59</formula>
    </cfRule>
  </conditionalFormatting>
  <conditionalFormatting sqref="C30">
    <cfRule type="cellIs" dxfId="45" priority="19" stopIfTrue="1" operator="equal">
      <formula>99</formula>
    </cfRule>
  </conditionalFormatting>
  <conditionalFormatting sqref="C13:D13 C18 C33">
    <cfRule type="cellIs" dxfId="44" priority="22" stopIfTrue="1" operator="equal">
      <formula>1001</formula>
    </cfRule>
  </conditionalFormatting>
  <conditionalFormatting sqref="C22:D22">
    <cfRule type="cellIs" dxfId="43" priority="21" stopIfTrue="1" operator="equal">
      <formula>199</formula>
    </cfRule>
  </conditionalFormatting>
  <conditionalFormatting sqref="D17">
    <cfRule type="expression" dxfId="42" priority="10" stopIfTrue="1">
      <formula>D202</formula>
    </cfRule>
  </conditionalFormatting>
  <conditionalFormatting sqref="H28">
    <cfRule type="expression" dxfId="41" priority="46" stopIfTrue="1">
      <formula>OR(Cn&lt;CritCnmin,Cn&gt;CritCnmax)</formula>
    </cfRule>
  </conditionalFormatting>
  <conditionalFormatting sqref="H29">
    <cfRule type="expression" dxfId="40" priority="45" stopIfTrue="1">
      <formula>OR(MS_min&lt;CritMsmin,MS_min&gt;CritMsmax)</formula>
    </cfRule>
  </conditionalFormatting>
  <conditionalFormatting sqref="H30">
    <cfRule type="expression" dxfId="39" priority="43" stopIfTrue="1">
      <formula>OR(MS_Cn_min&lt;CritMsCnmin,MS_Cn_min&gt;CritMsCnmax)</formula>
    </cfRule>
  </conditionalFormatting>
  <conditionalFormatting sqref="H27:I27">
    <cfRule type="expression" dxfId="38" priority="47" stopIfTrue="1">
      <formula>OR(Finesse&lt;CritFinessemin,Finesse&gt;CritFinessemax)</formula>
    </cfRule>
  </conditionalFormatting>
  <conditionalFormatting sqref="H33:I34">
    <cfRule type="expression" dxfId="37" priority="50" stopIfTrue="1">
      <formula>$H$33="STABLE"</formula>
    </cfRule>
  </conditionalFormatting>
  <conditionalFormatting sqref="I28">
    <cfRule type="expression" dxfId="36" priority="5" stopIfTrue="1">
      <formula>OR(Cn0&lt;CritCnmin,Cn0&gt;CritCnmax)</formula>
    </cfRule>
  </conditionalFormatting>
  <conditionalFormatting sqref="I29">
    <cfRule type="expression" dxfId="35" priority="44" stopIfTrue="1">
      <formula>OR(MS_max&lt;CritMsmin,MS_max&gt;CritMsmax)</formula>
    </cfRule>
  </conditionalFormatting>
  <conditionalFormatting sqref="I30">
    <cfRule type="expression" dxfId="34" priority="42" stopIfTrue="1">
      <formula>OR(MS_Cn_max&lt;CritMsCnmin,MS_Cn_max&gt;CritMsCnmax)</formula>
    </cfRule>
  </conditionalFormatting>
  <conditionalFormatting sqref="L38:M38">
    <cfRule type="expression" dxfId="33" priority="232" stopIfTrue="1">
      <formula>OR(SUM($C$27:$C$32)=273, $H$33&lt;&gt;"STABLE")</formula>
    </cfRule>
  </conditionalFormatting>
  <conditionalFormatting sqref="L6:P9">
    <cfRule type="expression" dxfId="32" priority="48" stopIfTrue="1">
      <formula>IF(RIGHT(Nb_diam,1)=",",1)</formula>
    </cfRule>
  </conditionalFormatting>
  <conditionalFormatting sqref="L20:P22 D25:E25 D27:E34 B35:E35">
    <cfRule type="expression" dxfId="31" priority="83" stopIfTrue="1">
      <formula>IF(LEFT(Type_masquage,1)="M",1)</formula>
    </cfRule>
  </conditionalFormatting>
  <conditionalFormatting sqref="L23:P24">
    <cfRule type="expression" dxfId="30" priority="64" stopIfTrue="1">
      <formula>IF(RIGHT(Nb_diam,1)=",",1)</formula>
    </cfRule>
  </conditionalFormatting>
  <conditionalFormatting sqref="M36 O36">
    <cfRule type="expression" dxfId="29" priority="141" stopIfTrue="1">
      <formula>$M$36="propu NOK"</formula>
    </cfRule>
  </conditionalFormatting>
  <conditionalFormatting sqref="M5:P5">
    <cfRule type="expression" dxfId="28" priority="38" stopIfTrue="1">
      <formula>IF(RIGHT(Nb_diam,1)=",",1)</formula>
    </cfRule>
  </conditionalFormatting>
  <conditionalFormatting sqref="N36">
    <cfRule type="expression" dxfId="27" priority="26" stopIfTrue="1">
      <formula>ROUND(SUM(C2:P25)+SUM(C27:P35),0)=8637</formula>
    </cfRule>
  </conditionalFormatting>
  <dataValidations count="13">
    <dataValidation type="whole" allowBlank="1" showInputMessage="1" showErrorMessage="1" error="Tapez un entier entre 3 et 6." sqref="C32:D32" xr:uid="{00000000-0002-0000-0000-000000000000}">
      <formula1>3</formula1>
      <formula2>6</formula2>
    </dataValidation>
    <dataValidation type="decimal" operator="notEqual" allowBlank="1" showInputMessage="1" showErrorMessage="1" error="Tapez uniquement la longueur, sans l'unité." sqref="C29:D29" xr:uid="{00000000-0002-0000-0000-000001000000}">
      <formula1>1E+100</formula1>
    </dataValidation>
    <dataValidation type="decimal" operator="greaterThanOrEqual" allowBlank="1" showInputMessage="1" showErrorMessage="1" error="Tapez uniquement la longueur, sans l'unité." sqref="C27:D28 C33:D34 C30:D31 M6:O9" xr:uid="{00000000-0002-0000-0000-000002000000}">
      <formula1>0</formula1>
    </dataValidation>
    <dataValidation type="list" showInputMessage="1" showErrorMessage="1" sqref="C26:D26" xr:uid="{00000000-0002-0000-0000-000003000000}">
      <formula1>Menu_Empennage</formula1>
    </dataValidation>
    <dataValidation type="list" showInputMessage="1" showErrorMessage="1" sqref="C17:D17" xr:uid="{00000000-0002-0000-0000-000004000000}">
      <formula1>Liste_propu</formula1>
    </dataValidation>
    <dataValidation type="list" showInputMessage="1" showErrorMessage="1" sqref="M2" xr:uid="{00000000-0002-0000-0000-000005000000}">
      <formula1>Menu_Lang</formula1>
    </dataValidation>
    <dataValidation type="decimal" showInputMessage="1" showErrorMessage="1" errorTitle="Masse de la Fusée" error="Tapez uniquement la masse, sans l'unité." sqref="C11" xr:uid="{00000000-0002-0000-0000-000006000000}">
      <formula1>0</formula1>
      <formula2>50000</formula2>
    </dataValidation>
    <dataValidation type="decimal" operator="greaterThan" showInputMessage="1" showErrorMessage="1" error="Tapez uniquement la longueur, sans l'unité." sqref="C12 C13:D13 C22:D23" xr:uid="{00000000-0002-0000-0000-000007000000}">
      <formula1>0</formula1>
    </dataValidation>
    <dataValidation type="list" showInputMessage="1" showErrorMessage="1" sqref="D11:D12" xr:uid="{00000000-0002-0000-0000-000008000000}">
      <formula1>Menu_with_motor</formula1>
    </dataValidation>
    <dataValidation type="list" showInputMessage="1" showErrorMessage="1" sqref="C10:D10" xr:uid="{00000000-0002-0000-0000-000009000000}">
      <formula1>Menu_Type</formula1>
    </dataValidation>
    <dataValidation type="decimal" operator="greaterThan" allowBlank="1" showInputMessage="1" showErrorMessage="1" error="Tapez uniquement la longueur, sans l'unité." sqref="C18" xr:uid="{00000000-0002-0000-0000-00000A000000}">
      <formula1>0</formula1>
    </dataValidation>
    <dataValidation type="list" showInputMessage="1" showErrorMessage="1" sqref="C21:D21" xr:uid="{00000000-0002-0000-0000-00000B000000}">
      <formula1>Menu_Ogive</formula1>
    </dataValidation>
    <dataValidation type="list" showInputMessage="1" showErrorMessage="1" sqref="M4" xr:uid="{00000000-0002-0000-0000-00000C000000}">
      <formula1>Menu_Transitions</formula1>
    </dataValidation>
  </dataValidations>
  <hyperlinks>
    <hyperlink ref="M38" location="Trajecto!C25" display="Trajecto" xr:uid="{00000000-0004-0000-0000-000000000000}"/>
  </hyperlinks>
  <printOptions horizontalCentered="1" verticalCentered="1"/>
  <pageMargins left="7.874015748031496E-2" right="7.874015748031496E-2" top="7.874015748031496E-2" bottom="7.874015748031496E-2" header="0" footer="0"/>
  <pageSetup paperSize="9" orientation="landscape" horizontalDpi="200" verticalDpi="200" r:id="rId1"/>
  <headerFooter alignWithMargins="0"/>
  <ignoredErrors>
    <ignoredError sqref="C34:D34" unlockedFormula="1"/>
    <ignoredError sqref="E180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775" r:id="rId4" name="Spinner 935">
              <controlPr defaultSize="0" print="0" autoPict="0">
                <anchor moveWithCells="1" sizeWithCells="1">
                  <from>
                    <xdr:col>3</xdr:col>
                    <xdr:colOff>752475</xdr:colOff>
                    <xdr:row>21</xdr:row>
                    <xdr:rowOff>9525</xdr:rowOff>
                  </from>
                  <to>
                    <xdr:col>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1" r:id="rId5" name="Spinner 941">
              <controlPr defaultSize="0" print="0" autoPict="0">
                <anchor moveWithCells="1" sizeWithCells="1">
                  <from>
                    <xdr:col>2</xdr:col>
                    <xdr:colOff>752475</xdr:colOff>
                    <xdr:row>10</xdr:row>
                    <xdr:rowOff>9525</xdr:rowOff>
                  </from>
                  <to>
                    <xdr:col>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2" r:id="rId6" name="Spinner 942">
              <controlPr defaultSize="0" print="0" autoPict="0">
                <anchor moveWithCells="1" sizeWithCells="1">
                  <from>
                    <xdr:col>2</xdr:col>
                    <xdr:colOff>752475</xdr:colOff>
                    <xdr:row>11</xdr:row>
                    <xdr:rowOff>9525</xdr:rowOff>
                  </from>
                  <to>
                    <xdr:col>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3" r:id="rId7" name="Spinner 943">
              <controlPr defaultSize="0" print="0" autoPict="0">
                <anchor moveWithCells="1" sizeWithCells="1">
                  <from>
                    <xdr:col>3</xdr:col>
                    <xdr:colOff>752475</xdr:colOff>
                    <xdr:row>22</xdr:row>
                    <xdr:rowOff>9525</xdr:rowOff>
                  </from>
                  <to>
                    <xdr:col>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9" r:id="rId8" name="Spinner 949">
              <controlPr defaultSize="0" print="0" autoPict="0">
                <anchor moveWithCells="1" sizeWithCells="1">
                  <from>
                    <xdr:col>2</xdr:col>
                    <xdr:colOff>752475</xdr:colOff>
                    <xdr:row>26</xdr:row>
                    <xdr:rowOff>9525</xdr:rowOff>
                  </from>
                  <to>
                    <xdr:col>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5" r:id="rId9" name="Spinner 955">
              <controlPr defaultSize="0" print="0" autoPict="0">
                <anchor moveWithCells="1" sizeWithCells="1">
                  <from>
                    <xdr:col>2</xdr:col>
                    <xdr:colOff>752475</xdr:colOff>
                    <xdr:row>27</xdr:row>
                    <xdr:rowOff>9525</xdr:rowOff>
                  </from>
                  <to>
                    <xdr:col>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6" r:id="rId10" name="Spinner 956">
              <controlPr defaultSize="0" print="0" autoPict="0">
                <anchor moveWithCells="1" sizeWithCells="1">
                  <from>
                    <xdr:col>2</xdr:col>
                    <xdr:colOff>752475</xdr:colOff>
                    <xdr:row>28</xdr:row>
                    <xdr:rowOff>9525</xdr:rowOff>
                  </from>
                  <to>
                    <xdr:col>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7" r:id="rId11" name="Spinner 957">
              <controlPr defaultSize="0" print="0" autoPict="0">
                <anchor moveWithCells="1" sizeWithCells="1">
                  <from>
                    <xdr:col>2</xdr:col>
                    <xdr:colOff>752475</xdr:colOff>
                    <xdr:row>29</xdr:row>
                    <xdr:rowOff>9525</xdr:rowOff>
                  </from>
                  <to>
                    <xdr:col>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8" r:id="rId12" name="Spinner 958">
              <controlPr defaultSize="0" print="0" autoPict="0">
                <anchor moveWithCells="1" sizeWithCells="1">
                  <from>
                    <xdr:col>2</xdr:col>
                    <xdr:colOff>752475</xdr:colOff>
                    <xdr:row>30</xdr:row>
                    <xdr:rowOff>9525</xdr:rowOff>
                  </from>
                  <to>
                    <xdr:col>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9" r:id="rId13" name="Spinner 959">
              <controlPr defaultSize="0" print="0" autoPict="0">
                <anchor moveWithCells="1" sizeWithCells="1">
                  <from>
                    <xdr:col>2</xdr:col>
                    <xdr:colOff>752475</xdr:colOff>
                    <xdr:row>31</xdr:row>
                    <xdr:rowOff>9525</xdr:rowOff>
                  </from>
                  <to>
                    <xdr:col>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1" r:id="rId14" name="Spinner 961">
              <controlPr defaultSize="0" print="0" autoPict="0">
                <anchor moveWithCells="1" sizeWithCells="1">
                  <from>
                    <xdr:col>3</xdr:col>
                    <xdr:colOff>752475</xdr:colOff>
                    <xdr:row>12</xdr:row>
                    <xdr:rowOff>9525</xdr:rowOff>
                  </from>
                  <to>
                    <xdr:col>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1" r:id="rId15" name="Spinner 3315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9525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2" r:id="rId16" name="Spinner 3316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9525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pageSetUpPr fitToPage="1"/>
  </sheetPr>
  <dimension ref="A1:R199"/>
  <sheetViews>
    <sheetView showGridLines="0" zoomScale="109" zoomScaleNormal="175" workbookViewId="0">
      <selection activeCell="K32" sqref="K32"/>
    </sheetView>
  </sheetViews>
  <sheetFormatPr baseColWidth="10" defaultColWidth="11.42578125" defaultRowHeight="12.75" x14ac:dyDescent="0.2"/>
  <cols>
    <col min="1" max="1" width="2.140625" style="1" customWidth="1"/>
    <col min="2" max="2" width="16.28515625" style="1" customWidth="1"/>
    <col min="3" max="4" width="11.42578125" style="1"/>
    <col min="5" max="5" width="2.7109375" style="1" customWidth="1"/>
    <col min="6" max="7" width="12.85546875" style="1" customWidth="1"/>
    <col min="8" max="13" width="10.7109375" style="1" customWidth="1"/>
    <col min="14" max="15" width="2.140625" style="1" customWidth="1"/>
    <col min="16" max="17" width="14.28515625" style="1" customWidth="1"/>
    <col min="18" max="16384" width="11.42578125" style="1"/>
  </cols>
  <sheetData>
    <row r="1" spans="1:14" x14ac:dyDescent="0.2">
      <c r="A1" s="51"/>
      <c r="B1" s="52"/>
      <c r="C1" s="53"/>
      <c r="D1" s="52"/>
      <c r="E1" s="54"/>
      <c r="F1" s="54"/>
      <c r="G1" s="54"/>
      <c r="H1" s="54"/>
      <c r="I1" s="54"/>
      <c r="J1" s="54"/>
      <c r="K1" s="54"/>
      <c r="L1" s="54"/>
      <c r="M1" s="54"/>
      <c r="N1" s="55"/>
    </row>
    <row r="2" spans="1:14" ht="12.75" customHeight="1" x14ac:dyDescent="0.2">
      <c r="A2" s="56"/>
      <c r="B2" s="2"/>
      <c r="C2" s="591" t="s">
        <v>0</v>
      </c>
      <c r="D2" s="591"/>
      <c r="F2" s="3"/>
      <c r="J2" s="4"/>
      <c r="N2" s="57"/>
    </row>
    <row r="3" spans="1:14" ht="12.75" customHeight="1" x14ac:dyDescent="0.2">
      <c r="A3" s="56"/>
      <c r="B3" s="2"/>
      <c r="C3" s="591"/>
      <c r="D3" s="591"/>
      <c r="H3" s="5"/>
      <c r="J3" s="4"/>
      <c r="N3" s="57"/>
    </row>
    <row r="4" spans="1:14" ht="12.75" customHeight="1" x14ac:dyDescent="0.2">
      <c r="A4" s="56"/>
      <c r="B4" s="2"/>
      <c r="C4" s="595" t="str">
        <f>IF(Lang="Français","Trajectographie de fusée",IF(Lang="English","Rocket Trajectography",""))</f>
        <v>Trajectographie de fusée</v>
      </c>
      <c r="D4" s="595"/>
      <c r="H4" s="5"/>
      <c r="J4" s="4"/>
      <c r="N4" s="57"/>
    </row>
    <row r="5" spans="1:14" ht="12.75" customHeight="1" x14ac:dyDescent="0.2">
      <c r="A5" s="56"/>
      <c r="B5" s="2"/>
      <c r="J5" s="4"/>
      <c r="N5" s="57"/>
    </row>
    <row r="6" spans="1:14" ht="12.95" customHeight="1" x14ac:dyDescent="0.2">
      <c r="A6" s="56"/>
      <c r="B6" s="87"/>
      <c r="C6" s="594" t="str">
        <f>IF(Lang="Français","Remplir les cases jaunes",IF(Lang="English","Fill-in yellow cells only",""))</f>
        <v>Remplir les cases jaunes</v>
      </c>
      <c r="D6" s="594"/>
      <c r="J6" s="4"/>
      <c r="N6" s="57"/>
    </row>
    <row r="7" spans="1:14" x14ac:dyDescent="0.2">
      <c r="A7" s="56"/>
      <c r="B7" s="6"/>
      <c r="C7" s="592" t="str">
        <f>IF(Lang="Français","Fusée",IF(Lang="English","Rocket",""))</f>
        <v>Fusée</v>
      </c>
      <c r="D7" s="592"/>
      <c r="N7" s="58"/>
    </row>
    <row r="8" spans="1:14" ht="12.75" customHeight="1" x14ac:dyDescent="0.25">
      <c r="A8" s="56"/>
      <c r="B8" s="140" t="str">
        <f>IF(Lang="Français","Nom",IF(Lang="English","Name",""))</f>
        <v>Nom</v>
      </c>
      <c r="C8" s="593" t="str">
        <f>Nom</f>
        <v xml:space="preserve">SP-02 </v>
      </c>
      <c r="D8" s="593"/>
      <c r="E8" s="5"/>
      <c r="F8" s="5"/>
      <c r="J8" s="4"/>
      <c r="N8" s="57"/>
    </row>
    <row r="9" spans="1:14" ht="12.75" customHeight="1" x14ac:dyDescent="0.25">
      <c r="A9" s="59"/>
      <c r="B9" s="140" t="s">
        <v>4</v>
      </c>
      <c r="C9" s="593" t="str">
        <f>Club</f>
        <v>Aeroipsa</v>
      </c>
      <c r="D9" s="593"/>
      <c r="F9" s="5"/>
      <c r="N9" s="58"/>
    </row>
    <row r="10" spans="1:14" ht="12.75" customHeight="1" x14ac:dyDescent="0.2">
      <c r="A10" s="59"/>
      <c r="B10" s="140" t="str">
        <f>IF(Lang="Français","Masse totale",IF(Lang="English","Total Mass",""))</f>
        <v>Masse totale</v>
      </c>
      <c r="C10" s="617">
        <f ca="1">MassePlein</f>
        <v>7.8849999999999998</v>
      </c>
      <c r="D10" s="617"/>
      <c r="F10" s="5"/>
      <c r="N10" s="58"/>
    </row>
    <row r="11" spans="1:14" ht="12.75" customHeight="1" x14ac:dyDescent="0.2">
      <c r="A11" s="59"/>
      <c r="B11" s="227" t="str">
        <f>IF(Lang="Français","Propulseur",IF(Lang="English","Motor",""))</f>
        <v>Propulseur</v>
      </c>
      <c r="C11" s="620" t="str">
        <f>Propu</f>
        <v>Barasinga (Pro54-5G C)</v>
      </c>
      <c r="D11" s="621"/>
      <c r="F11" s="5"/>
      <c r="N11" s="58"/>
    </row>
    <row r="12" spans="1:14" ht="12.75" customHeight="1" x14ac:dyDescent="0.2">
      <c r="A12" s="59"/>
      <c r="F12" s="5"/>
      <c r="N12" s="58"/>
    </row>
    <row r="13" spans="1:14" ht="12.75" customHeight="1" x14ac:dyDescent="0.2">
      <c r="A13" s="59"/>
      <c r="B13"/>
      <c r="C13" s="592" t="str">
        <f>IF(Lang="Français","Traînée Aérdynamique",IF(Lang="English","Drag",""))</f>
        <v>Traînée Aérdynamique</v>
      </c>
      <c r="D13" s="592"/>
      <c r="N13" s="58"/>
    </row>
    <row r="14" spans="1:14" ht="12.75" customHeight="1" x14ac:dyDescent="0.2">
      <c r="A14" s="59"/>
      <c r="B14" s="140" t="s">
        <v>41</v>
      </c>
      <c r="C14" s="622">
        <f>(PI()*D_ref^2/4+E_ail*ep_ail*Q_ail)/10^6</f>
        <v>1.0054866535306801E-2</v>
      </c>
      <c r="D14" s="622"/>
      <c r="N14" s="58"/>
    </row>
    <row r="15" spans="1:14" ht="12.75" customHeight="1" x14ac:dyDescent="0.2">
      <c r="A15" s="59"/>
      <c r="B15" s="141" t="s">
        <v>5</v>
      </c>
      <c r="C15" s="615">
        <v>0.5</v>
      </c>
      <c r="D15" s="616"/>
      <c r="N15" s="58"/>
    </row>
    <row r="16" spans="1:14" ht="12.75" customHeight="1" x14ac:dyDescent="0.2">
      <c r="A16" s="59"/>
      <c r="N16" s="58"/>
    </row>
    <row r="17" spans="1:18" ht="12.75" customHeight="1" x14ac:dyDescent="0.2">
      <c r="A17" s="59"/>
      <c r="B17"/>
      <c r="C17" s="592" t="str">
        <f>IF(Lang="Français","Rampe de Lancement",IF(Lang="English","Launch Pad",""))</f>
        <v>Rampe de Lancement</v>
      </c>
      <c r="D17" s="592"/>
      <c r="N17" s="58"/>
    </row>
    <row r="18" spans="1:18" ht="12.75" customHeight="1" x14ac:dyDescent="0.2">
      <c r="A18" s="59"/>
      <c r="B18" s="140" t="str">
        <f>IF(Lang="Français","Longueur",IF(Lang="English","Length",""))</f>
        <v>Longueur</v>
      </c>
      <c r="C18" s="619">
        <f>IF(RIGHT(Type_fusee,1)=".",4, IF(LEFT(Type_fusee,4)="Mini",4, IF(LEFT(Type_fusee,5)="Micro",1, IF(RIGHT(Type_fusee,1)=" ",0.1,IF(LEFT(Type_fusee,1)="R",3, 2.5)))))</f>
        <v>4</v>
      </c>
      <c r="D18" s="619"/>
      <c r="N18" s="58"/>
    </row>
    <row r="19" spans="1:18" ht="12.75" customHeight="1" x14ac:dyDescent="0.2">
      <c r="A19" s="59"/>
      <c r="B19" s="140" t="str">
        <f>IF(Lang="Français","Élévation",IF(Lang="English","Angle /horizon",""))</f>
        <v>Élévation</v>
      </c>
      <c r="C19" s="618">
        <v>85</v>
      </c>
      <c r="D19" s="618"/>
      <c r="N19" s="58"/>
    </row>
    <row r="20" spans="1:18" ht="12.75" customHeight="1" x14ac:dyDescent="0.2">
      <c r="A20" s="59"/>
      <c r="B20" s="140" t="s">
        <v>6</v>
      </c>
      <c r="C20" s="619">
        <v>0</v>
      </c>
      <c r="D20" s="619"/>
      <c r="N20" s="58"/>
    </row>
    <row r="21" spans="1:18" ht="12.75" customHeight="1" x14ac:dyDescent="0.2">
      <c r="A21" s="59"/>
      <c r="F21" s="384" t="str">
        <f ca="1">IF( OR( AND(Vsortie_de_rampe&lt;18, RIGHT(Type_fusee,1)=";"), AND(Vsortie_de_rampe&lt;20, RIGHT(Type_fusee,1)=".")), IF(Lang="Français","Vitesse en Sortie de Rampe trop faible, alléger la fusée ou choisir un propu plus puissant.","Speed at Launch Pad Exit too low, lighten the rocket or choose a bigger motor."), "")</f>
        <v/>
      </c>
      <c r="N21" s="58"/>
    </row>
    <row r="22" spans="1:18" x14ac:dyDescent="0.2">
      <c r="A22" s="59"/>
      <c r="C22" s="605" t="str">
        <f>IF(Lang="Français","DescenteSousParachute",IF(Lang="English","Over Parachute",""))</f>
        <v>DescenteSousParachute</v>
      </c>
      <c r="D22" s="606"/>
      <c r="F22" s="4"/>
      <c r="G22" s="50">
        <f ca="1">TODAY()</f>
        <v>45781</v>
      </c>
      <c r="H22" s="491" t="str">
        <f>IF(Lang="Français","Temps",IF(Lang="English","Time",""))</f>
        <v>Temps</v>
      </c>
      <c r="I22" s="491" t="s">
        <v>12</v>
      </c>
      <c r="J22" s="491" t="str">
        <f>IF(Lang="Français","Portée x",IF(Lang="English","Range x",""))</f>
        <v>Portée x</v>
      </c>
      <c r="K22" s="491" t="str">
        <f>IF(Lang="Français","Vitesse",IF(Lang="English","Velocity",""))</f>
        <v>Vitesse</v>
      </c>
      <c r="L22" s="492" t="s">
        <v>13</v>
      </c>
      <c r="M22" s="501" t="s">
        <v>421</v>
      </c>
      <c r="N22" s="58"/>
    </row>
    <row r="23" spans="1:18" x14ac:dyDescent="0.2">
      <c r="A23" s="59"/>
      <c r="B23"/>
      <c r="C23" s="142" t="str">
        <f>C7</f>
        <v>Fusée</v>
      </c>
      <c r="D23" s="220" t="s">
        <v>121</v>
      </c>
      <c r="F23" s="607" t="str">
        <f>IF(Lang="Français","Sortie de Rampe",IF(Lang="English","Launch-Pad Exit",""))</f>
        <v>Sortie de Rampe</v>
      </c>
      <c r="G23" s="608"/>
      <c r="H23" s="493"/>
      <c r="I23" s="493"/>
      <c r="J23" s="493"/>
      <c r="K23" s="494">
        <f ca="1">INDEX(vit_xz,MATCH("Sortie de rampe",Event,0))</f>
        <v>27.59094281243793</v>
      </c>
      <c r="L23" s="495"/>
      <c r="M23" s="502"/>
      <c r="N23" s="58"/>
    </row>
    <row r="24" spans="1:18" x14ac:dyDescent="0.2">
      <c r="A24" s="59"/>
      <c r="B24" s="466" t="str">
        <f>IF(Lang="Français","Masse",IF(Lang="English","Mass",""))</f>
        <v>Masse</v>
      </c>
      <c r="C24" s="467">
        <f ca="1">IF(Nb_sat="0 satellite",MasseVide,MasseVide-m_satellite)</f>
        <v>6.8520000000000003</v>
      </c>
      <c r="D24" s="482">
        <f>IF(RIGHT(Type_fusee,1)=".",1,0.15)</f>
        <v>1</v>
      </c>
      <c r="E24" s="18" t="str">
        <f>IF(ABS(T_satellite-0.11-T_para)&lt;0.1,"Pb!","")</f>
        <v/>
      </c>
      <c r="F24" s="611" t="str">
        <f>IF(Lang="Français","Vit max &amp; Acc max",IF(Lang="English","Max Velocity &amp; Acc",""))</f>
        <v>Vit max &amp; Acc max</v>
      </c>
      <c r="G24" s="612"/>
      <c r="H24" s="115"/>
      <c r="I24" s="115"/>
      <c r="J24" s="115"/>
      <c r="K24" s="158">
        <f ca="1">MAX(vit_xz)</f>
        <v>214.51934012791119</v>
      </c>
      <c r="L24" s="496">
        <f ca="1">MAX(acc_xz)</f>
        <v>103.56971828823482</v>
      </c>
      <c r="M24" s="502"/>
      <c r="N24" s="58"/>
    </row>
    <row r="25" spans="1:18" x14ac:dyDescent="0.2">
      <c r="A25" s="59"/>
      <c r="B25" s="470" t="str">
        <f>IF(Lang="Français","Dépotage",IF(Lang="English","Delay",""))</f>
        <v>Dépotage</v>
      </c>
      <c r="C25" s="507" t="s">
        <v>407</v>
      </c>
      <c r="D25" s="481"/>
      <c r="F25" s="613" t="str">
        <f>IF(Lang="Français","Largage du satellite",IF(Lang="English","Satellite separation",""))</f>
        <v>Largage du satellite</v>
      </c>
      <c r="G25" s="614"/>
      <c r="H25" s="152">
        <f>IF(T_satellite&lt;&gt;0,T_satellite,"")</f>
        <v>3.5</v>
      </c>
      <c r="I25" s="156">
        <f ca="1">IF(T_satellite&lt;&gt;0,INDEX(pos_z,MATCH("Satellite",Event_sat,0)),"")</f>
        <v>470.86613519528169</v>
      </c>
      <c r="J25" s="154">
        <f ca="1">IF(T_satellite&lt;&gt;0,INDEX(pos_x,MATCH("Satellite",Event_sat,0)),"")</f>
        <v>50.664746324723218</v>
      </c>
      <c r="K25" s="159">
        <f ca="1">IF(T_satellite&lt;&gt;0,INDEX(vit_xz,MATCH("Satellite",Event_sat,0)),"")</f>
        <v>211.64844508881808</v>
      </c>
      <c r="L25" s="497"/>
      <c r="M25" s="487">
        <f ca="1">1/2*Rho_moyen*1*V_ouv_sat^2*S_satellite</f>
        <v>2743.6976888965096</v>
      </c>
      <c r="N25" s="58"/>
    </row>
    <row r="26" spans="1:18" x14ac:dyDescent="0.2">
      <c r="A26" s="59"/>
      <c r="B26" s="468" t="str">
        <f>IF(Lang="Français","Ouverture para",IF(Lang="English","Opening time",""))</f>
        <v>Ouverture para</v>
      </c>
      <c r="C26" s="509">
        <v>21.8</v>
      </c>
      <c r="D26" s="469">
        <v>3.5</v>
      </c>
      <c r="F26" s="611" t="s">
        <v>15</v>
      </c>
      <c r="G26" s="612"/>
      <c r="H26" s="153">
        <f ca="1">INDEX(t,MATCH("Apogée",Event,0))</f>
        <v>18.199999999999946</v>
      </c>
      <c r="I26" s="157">
        <f ca="1">INDEX(pos_z,MATCH("Apogée",Event,0))</f>
        <v>1738.4460976679284</v>
      </c>
      <c r="J26" s="155">
        <f ca="1">INDEX(pos_x,MATCH("Apogée",Event,0))</f>
        <v>301.25810185743023</v>
      </c>
      <c r="K26" s="160">
        <f ca="1">INDEX(vit_xz,MATCH("Apogée",Event,0))</f>
        <v>14.270041345691116</v>
      </c>
      <c r="L26" s="498"/>
      <c r="M26" s="502"/>
      <c r="N26" s="58"/>
    </row>
    <row r="27" spans="1:18" x14ac:dyDescent="0.2">
      <c r="A27" s="59"/>
      <c r="B27" s="141" t="s">
        <v>9</v>
      </c>
      <c r="C27" s="225">
        <f>S_para_croix</f>
        <v>0.24</v>
      </c>
      <c r="D27" s="17">
        <f>IF(RIGHT(Type_fusee,1)=".",0.1,0.02)</f>
        <v>0.1</v>
      </c>
      <c r="F27" s="609" t="str">
        <f>IF(Lang="Français","Ouverture parachute fusée",IF(Lang="English","Rocket parachute opening",""))</f>
        <v>Ouverture parachute fusée</v>
      </c>
      <c r="G27" s="610"/>
      <c r="H27" s="152">
        <f>T_para</f>
        <v>21.8</v>
      </c>
      <c r="I27" s="156">
        <f ca="1">INDEX(pos_z,MATCH("Para",Event_para,0))</f>
        <v>1676.0501140492172</v>
      </c>
      <c r="J27" s="488">
        <f ca="1">INDEX(pos_x,MATCH("Para",Event_para,0))</f>
        <v>351.96629763756908</v>
      </c>
      <c r="K27" s="159">
        <f ca="1">INDEX(vit_xz,MATCH("Para",Event_para,0))</f>
        <v>37.201295946308711</v>
      </c>
      <c r="L27" s="497"/>
      <c r="M27" s="487">
        <f ca="1">1/2*Rho_moyen*1*V_ouverture^2*S_para</f>
        <v>203.43865375247222</v>
      </c>
      <c r="N27" s="58"/>
      <c r="P27" s="384" t="str">
        <f ca="1">IF(V_para&lt;5, IF(Lang="Français","Parachute fusée trop grand !","Parachute too big!"), IF( V_para&gt;15, IF(Lang="Français","Parachute fusée trop petit !","Parachute too small!"), ""))</f>
        <v>Parachute fusée trop petit !</v>
      </c>
      <c r="R27" s="384" t="str">
        <f>IF(AND(Nb_sat="1 satellite", OR(V_satellite&lt;5)), IF(Lang="Français","Parachute satéllite trop grand !","Parachute too big"), IF(AND(Nb_sat="1 satellite",OR(V_satellite&gt;15)), IF(Lang="Français","Parachute satéllite trop petit !","Parachute too small!"), ""))</f>
        <v/>
      </c>
    </row>
    <row r="28" spans="1:18" x14ac:dyDescent="0.2">
      <c r="A28" s="59"/>
      <c r="B28" s="141" t="s">
        <v>10</v>
      </c>
      <c r="C28" s="143">
        <v>1</v>
      </c>
      <c r="D28" s="143">
        <v>1</v>
      </c>
      <c r="F28" s="598" t="str">
        <f>IF(Lang="Français","Impact balistique",IF(Lang="English","Balistic Impact",""))</f>
        <v>Impact balistique</v>
      </c>
      <c r="G28" s="599"/>
      <c r="H28" s="499">
        <f ca="1">INDEX(t,MATCH("Impact balistique",Event,0))</f>
        <v>39.400000000000247</v>
      </c>
      <c r="I28" s="519" t="s">
        <v>428</v>
      </c>
      <c r="J28" s="489">
        <f ca="1">INDEX(pos_x,MATCH("Impact balistique",Event,0))</f>
        <v>539.267207314762</v>
      </c>
      <c r="K28" s="503">
        <f ca="1">K45</f>
        <v>133.56279707168014</v>
      </c>
      <c r="L28" s="500"/>
      <c r="M28" s="504">
        <f ca="1">0.5*m_vide*K28^2</f>
        <v>61116.485129278633</v>
      </c>
      <c r="N28" s="58"/>
      <c r="P28" s="384" t="str">
        <f ca="1">IF( OR( V_para&lt;5, V_para&gt;15, AND(Nb_sat="1 satellite", OR(V_satellite&lt;5, V_satellite&gt;15))), IF(Lang="Français","La Vitesse de descente sous parachute doit être comprise entre 5 &amp; 15 m/s.","Fall Velocity with parachute must be between 5 &amp; 15 m/s."), "")</f>
        <v>La Vitesse de descente sous parachute doit être comprise entre 5 &amp; 15 m/s.</v>
      </c>
    </row>
    <row r="29" spans="1:18" x14ac:dyDescent="0.2">
      <c r="A29" s="59"/>
      <c r="B29" s="141" t="str">
        <f>IF(Lang="Français","Vitesse du vent",IF(Lang="English","Wind speed",""))</f>
        <v>Vitesse du vent</v>
      </c>
      <c r="C29" s="144">
        <v>5</v>
      </c>
      <c r="D29" s="144">
        <f>V_vent</f>
        <v>5</v>
      </c>
      <c r="E29" s="18" t="str">
        <f>IF(AND(T_satellite=0,m_satellite&lt;&gt;0),"Erreur !","")</f>
        <v/>
      </c>
      <c r="G29" s="485"/>
      <c r="H29" s="486"/>
      <c r="I29" s="490"/>
      <c r="N29" s="58"/>
      <c r="P29" s="384" t="str">
        <f ca="1">IF(AND(Portee_balistique&gt;200,LEFT(Type_propu,4)="Mini"),IF(Lang="Français","Fusée trop lègère !","Rocket too light"),"")</f>
        <v/>
      </c>
    </row>
    <row r="30" spans="1:18" x14ac:dyDescent="0.2">
      <c r="A30" s="59"/>
      <c r="B30" s="133" t="str">
        <f>IF(Lang="Français","Vitesse descente",IF(Lang="English","Fall velocity",""))</f>
        <v>Vitesse descente</v>
      </c>
      <c r="C30" s="424">
        <f ca="1">SQRT(2*m_vide*g/Rho_moyen/S_para/Cx_para)</f>
        <v>21.383781762096707</v>
      </c>
      <c r="D30" s="424">
        <f>SQRT(2*m_satellite*g/Rho_moyen/S_satellite/Cx_satellite)</f>
        <v>12.655562623057198</v>
      </c>
      <c r="F30" s="384"/>
      <c r="K30" s="388"/>
      <c r="N30" s="58"/>
      <c r="P30" s="384" t="str">
        <f ca="1">IF(OR(AND(Vsortie_de_rampe&lt;20,LEFT(Type_fusee,1)="F"),AND(Vsortie_de_rampe&lt;18, OR(LEFT(Type_fusee,1)=",",LEFT(Type_fusee,4)="Mini",LEFT(Type_fusee,1)="R"))),IF(Lang="Français","Fusée trop lourde ou rampe trop courte !","Rocket too heavy or launch pad too small!"),"")</f>
        <v/>
      </c>
    </row>
    <row r="31" spans="1:18" x14ac:dyDescent="0.2">
      <c r="A31" s="59"/>
      <c r="B31" s="133" t="str">
        <f>IF(Lang="Français","Durée descente",IF(Lang="English","Fall duration",""))</f>
        <v>Durée descente</v>
      </c>
      <c r="C31" s="132">
        <f ca="1">Alt_para/V_para</f>
        <v>78.379499599086742</v>
      </c>
      <c r="D31" s="132">
        <f ca="1">IF(V_satellite&lt;&gt;0,Alt_sat/V_satellite,0)</f>
        <v>37.206258561544281</v>
      </c>
      <c r="H31" s="600" t="str">
        <f>IF(Lang="Français","Pour localiser la fusée","To locate the rocket")</f>
        <v>Pour localiser la fusée</v>
      </c>
      <c r="I31" s="600"/>
      <c r="J31" s="484"/>
      <c r="N31" s="395"/>
      <c r="P31" s="384" t="str">
        <f ca="1">IF(Temps_culmi-T_para&gt;2,IF(Lang="Français","Ouverture parachute fusée précoce.","Early rocket parachute opening."),IF(Temps_culmi-T_para&lt;-2,IF(Lang="Français","Ouverture parachute fusée tardive.","Late rocket parachute opening."),""))</f>
        <v>Ouverture parachute fusée tardive.</v>
      </c>
    </row>
    <row r="32" spans="1:18" x14ac:dyDescent="0.2">
      <c r="A32" s="59"/>
      <c r="B32" s="133" t="str">
        <f>IF(Lang="Français","Durée du vol",IF(Lang="English","Fligth duration",""))</f>
        <v>Durée du vol</v>
      </c>
      <c r="C32" s="132">
        <f ca="1">T_para+Dt_para</f>
        <v>100.17949959908674</v>
      </c>
      <c r="D32" s="132">
        <f ca="1">T_satellite+Dt_satellite</f>
        <v>40.706258561544281</v>
      </c>
      <c r="F32" s="600" t="str">
        <f>IF(Lang="Français","Couleur fuselage/coiffe","Body/Nose color")</f>
        <v>Couleur fuselage/coiffe</v>
      </c>
      <c r="G32" s="600"/>
      <c r="H32" s="596" t="s">
        <v>555</v>
      </c>
      <c r="I32" s="597"/>
      <c r="N32" s="394"/>
      <c r="P32" s="384" t="str">
        <f ca="1">IF(ABS(Temps_culmi-T_para)&gt;2,IF(Lang="Français","Attention, aux efforts sur le parachute lors de l'ouverture !","Becarefull to the opening chute efforts!"),"")</f>
        <v>Attention, aux efforts sur le parachute lors de l'ouverture !</v>
      </c>
    </row>
    <row r="33" spans="1:16" customFormat="1" x14ac:dyDescent="0.2">
      <c r="A33" s="74"/>
      <c r="B33" s="133" t="str">
        <f>IF(Lang="Français","Déport latéral",IF(Lang="English","Lateral shift",""))</f>
        <v>Déport latéral</v>
      </c>
      <c r="C33" s="151">
        <f ca="1">Alt_para*V_vent/V_para</f>
        <v>391.8974979954337</v>
      </c>
      <c r="D33" s="151">
        <f ca="1">IF(V_satellite&lt;&gt;0,Alt_sat*V_vent_sat/V_satellite,0)</f>
        <v>186.0312928077214</v>
      </c>
      <c r="F33" s="600" t="str">
        <f>IF(Lang="Français","Couleur parachute fusée","Rocket parachute color")</f>
        <v>Couleur parachute fusée</v>
      </c>
      <c r="G33" s="600"/>
      <c r="H33" s="596" t="s">
        <v>554</v>
      </c>
      <c r="I33" s="597"/>
      <c r="N33" s="394" t="str">
        <f>IF(Lang="Français","fichier initial","Initial file")</f>
        <v>fichier initial</v>
      </c>
    </row>
    <row r="34" spans="1:16" x14ac:dyDescent="0.2">
      <c r="A34" s="59"/>
      <c r="F34" s="600" t="str">
        <f>IF(Lang="Français","Couleur parachute satellite","Satellite parachute color")</f>
        <v>Couleur parachute satellite</v>
      </c>
      <c r="G34" s="600"/>
      <c r="H34" s="604" t="s">
        <v>159</v>
      </c>
      <c r="I34" s="604"/>
      <c r="N34" s="393" t="str">
        <f>IF(ROUND(SUM(Propu!5:1228),0)=395253,"propu OK","propu NOK")</f>
        <v>propu OK</v>
      </c>
      <c r="P34"/>
    </row>
    <row r="35" spans="1:16" ht="13.5" thickBot="1" x14ac:dyDescent="0.25">
      <c r="A35" s="60"/>
      <c r="B35" s="181" t="str">
        <f>IF(Lang="Français","Commentaire libre :",IF(Lang="English","Free comment:",""))</f>
        <v>Commentaire libre :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290" t="s">
        <v>544</v>
      </c>
      <c r="P35"/>
    </row>
    <row r="38" spans="1:16" x14ac:dyDescent="0.2">
      <c r="A38" s="601" t="str">
        <f>IF(Lang="Français","Calcul de la surface d'un parachute","Parachute surface calculation")</f>
        <v>Calcul de la surface d'un parachute</v>
      </c>
      <c r="B38" s="602"/>
      <c r="C38" s="602"/>
      <c r="D38" s="603"/>
      <c r="F38" s="601" t="str">
        <f>IF(Lang="Français","Résultats détaillés","Detailled results")</f>
        <v>Résultats détaillés</v>
      </c>
      <c r="G38" s="603"/>
      <c r="H38" s="170" t="str">
        <f>IF(Lang="Français","Temps",IF(Lang="English","Time",""))</f>
        <v>Temps</v>
      </c>
      <c r="I38" s="134" t="s">
        <v>12</v>
      </c>
      <c r="J38" s="134" t="str">
        <f>IF(Lang="Français","Portée x",IF(Lang="English","Range x",""))</f>
        <v>Portée x</v>
      </c>
      <c r="K38" s="134" t="str">
        <f>IF(Lang="Français","Vitesse",IF(Lang="English","Velocity",""))</f>
        <v>Vitesse</v>
      </c>
      <c r="L38" s="135" t="s">
        <v>13</v>
      </c>
      <c r="M38" s="134" t="s">
        <v>42</v>
      </c>
    </row>
    <row r="39" spans="1:16" x14ac:dyDescent="0.2">
      <c r="A39" s="161"/>
      <c r="D39" s="162"/>
      <c r="F39" s="172"/>
      <c r="G39" s="173"/>
      <c r="H39" s="171" t="s">
        <v>154</v>
      </c>
      <c r="I39" s="136" t="s">
        <v>39</v>
      </c>
      <c r="J39" s="136" t="s">
        <v>39</v>
      </c>
      <c r="K39" s="136" t="s">
        <v>155</v>
      </c>
      <c r="L39" s="136" t="s">
        <v>7</v>
      </c>
      <c r="M39" s="136" t="s">
        <v>156</v>
      </c>
    </row>
    <row r="40" spans="1:16" x14ac:dyDescent="0.2">
      <c r="A40" s="161"/>
      <c r="D40" s="162"/>
      <c r="F40" s="625" t="str">
        <f>IF(Lang="Français","Décollage",IF(Lang="English","Lift-Off",""))</f>
        <v>Décollage</v>
      </c>
      <c r="G40" s="625"/>
      <c r="H40" s="150">
        <v>0</v>
      </c>
      <c r="I40" s="150">
        <v>0</v>
      </c>
      <c r="J40" s="150">
        <v>0</v>
      </c>
      <c r="K40" s="150">
        <v>0</v>
      </c>
      <c r="L40" s="148" t="s">
        <v>14</v>
      </c>
      <c r="M40" s="149">
        <f>Beta_rampe</f>
        <v>85</v>
      </c>
    </row>
    <row r="41" spans="1:16" x14ac:dyDescent="0.2">
      <c r="A41" s="161"/>
      <c r="D41" s="162"/>
      <c r="F41" s="612" t="str">
        <f>IF(Lang="Français","Sortie de Rampe",IF(Lang="English","Launch-Pad Exit",""))</f>
        <v>Sortie de Rampe</v>
      </c>
      <c r="G41" s="612"/>
      <c r="H41" s="115">
        <f ca="1">INDEX(t,MATCH("Sortie de rampe",Event,0))</f>
        <v>0.3000000000000001</v>
      </c>
      <c r="I41" s="115">
        <f ca="1">INDEX(pos_z,MATCH("Sortie de rampe",Event,0))</f>
        <v>3.7920967035611071</v>
      </c>
      <c r="J41" s="115">
        <f ca="1">INDEX(pos_x,MATCH("Sortie de rampe",Event,0))</f>
        <v>0.33174717494152495</v>
      </c>
      <c r="K41" s="116">
        <f ca="1">INDEX(vit_xz,MATCH("Sortie de rampe",Event,0))</f>
        <v>27.59094281243793</v>
      </c>
      <c r="L41" s="116">
        <f ca="1">INDEX(acc_xz,MATCH("Sortie de rampe",Event,0))</f>
        <v>98.287995113177189</v>
      </c>
      <c r="M41" s="116">
        <f ca="1">INDEX(BetaD,MATCH("Sortie de rampe",Event,0))</f>
        <v>85</v>
      </c>
    </row>
    <row r="42" spans="1:16" x14ac:dyDescent="0.2">
      <c r="A42" s="161"/>
      <c r="B42" s="166" t="str">
        <f>IF(Lang="Français","Longeur du bord","Side length")</f>
        <v>Longeur du bord</v>
      </c>
      <c r="D42" s="162"/>
      <c r="F42" s="612" t="str">
        <f>IF(Lang="Français","Vit max &amp; Acc max",IF(Lang="English","Max Velocity &amp; Acc",""))</f>
        <v>Vit max &amp; Acc max</v>
      </c>
      <c r="G42" s="612"/>
      <c r="H42" s="115" t="s">
        <v>14</v>
      </c>
      <c r="I42" s="115" t="s">
        <v>14</v>
      </c>
      <c r="J42" s="115" t="s">
        <v>14</v>
      </c>
      <c r="K42" s="117">
        <f ca="1">MAX(vit_xz)</f>
        <v>214.51934012791119</v>
      </c>
      <c r="L42" s="118">
        <f ca="1">MAX(acc_xz)</f>
        <v>103.56971828823482</v>
      </c>
      <c r="M42" s="116" t="s">
        <v>14</v>
      </c>
    </row>
    <row r="43" spans="1:16" x14ac:dyDescent="0.2">
      <c r="A43" s="161"/>
      <c r="B43" s="167">
        <v>200</v>
      </c>
      <c r="D43" s="162"/>
      <c r="F43" s="612" t="str">
        <f>IF(Lang="Français","Fin de Propulsion",IF(Lang="English","Motor Burn-Out",""))</f>
        <v>Fin de Propulsion</v>
      </c>
      <c r="G43" s="612"/>
      <c r="H43" s="116">
        <f ca="1">INDEX(t,MATCH("Fin de propulsion",Event,0))</f>
        <v>3.5999999999999672</v>
      </c>
      <c r="I43" s="119">
        <f ca="1">INDEX(pos_z,MATCH("Fin de propulsion",Event,0))</f>
        <v>491.77093553390154</v>
      </c>
      <c r="J43" s="119">
        <f ca="1">INDEX(pos_x,MATCH("Fin de propulsion",Event,0))</f>
        <v>53.079457634144958</v>
      </c>
      <c r="K43" s="119">
        <f ca="1">INDEX(vit_xz,MATCH("Fin de propulsion",Event,0))</f>
        <v>209.10487547283958</v>
      </c>
      <c r="L43" s="116">
        <f ca="1">INDEX(acc_xz,MATCH("Fin de propulsion",Event,0))</f>
        <v>28.529097034751388</v>
      </c>
      <c r="M43" s="116">
        <f ca="1">INDEX(BetaD,MATCH("Fin de propulsion",Event,0))</f>
        <v>83.395567101914239</v>
      </c>
    </row>
    <row r="44" spans="1:16" x14ac:dyDescent="0.2">
      <c r="A44" s="161"/>
      <c r="B44" s="166" t="str">
        <f>IF(Lang="Français","Largeur du coté","Side width")</f>
        <v>Largeur du coté</v>
      </c>
      <c r="D44" s="162"/>
      <c r="F44" s="612" t="s">
        <v>15</v>
      </c>
      <c r="G44" s="612"/>
      <c r="H44" s="118">
        <f ca="1">INDEX(t,MATCH("Apogée",Event,0))</f>
        <v>18.199999999999946</v>
      </c>
      <c r="I44" s="117">
        <f ca="1">INDEX(pos_z,MATCH("Apogée",Event,0))</f>
        <v>1738.4460976679284</v>
      </c>
      <c r="J44" s="120">
        <f ca="1">INDEX(pos_x,MATCH("Apogée",Event,0))</f>
        <v>301.25810185743023</v>
      </c>
      <c r="K44" s="120">
        <f ca="1">INDEX(vit_xz,MATCH("Apogée",Event,0))</f>
        <v>14.270041345691116</v>
      </c>
      <c r="L44" s="116">
        <f ca="1">INDEX(acc_xz,MATCH("Apogée",Event,0))</f>
        <v>9.8164425456152724</v>
      </c>
      <c r="M44" s="121">
        <f ca="1">INDEX(BetaD,MATCH("Apogée",Event,0))</f>
        <v>0.61747136300728911</v>
      </c>
    </row>
    <row r="45" spans="1:16" x14ac:dyDescent="0.2">
      <c r="A45" s="161"/>
      <c r="B45" s="168">
        <v>250</v>
      </c>
      <c r="D45" s="162"/>
      <c r="F45" s="627" t="str">
        <f>IF(Lang="Français","Impact balistique",IF(Lang="English","Balistic Impact",""))</f>
        <v>Impact balistique</v>
      </c>
      <c r="G45" s="627"/>
      <c r="H45" s="116">
        <f ca="1">INDEX(t,MATCH("Impact balistique",Event,0))</f>
        <v>39.400000000000247</v>
      </c>
      <c r="I45" s="148" t="s">
        <v>16</v>
      </c>
      <c r="J45" s="117">
        <f ca="1">INDEX(pos_x,MATCH("Impact balistique",Event,0))</f>
        <v>539.267207314762</v>
      </c>
      <c r="K45" s="119">
        <f ca="1">INDEX(vit_xz,MATCH("Impact balistique",Event,0))</f>
        <v>133.56279707168014</v>
      </c>
      <c r="L45" s="116">
        <f ca="1">INDEX(acc_xz,MATCH("Impact balistique",Event,0))</f>
        <v>1.8746323639394118</v>
      </c>
      <c r="M45" s="116">
        <f ca="1">INDEX(BetaD,MATCH("Impact balistique",Event,0))</f>
        <v>-87.060195764846043</v>
      </c>
    </row>
    <row r="46" spans="1:16" x14ac:dyDescent="0.2">
      <c r="A46" s="161"/>
      <c r="B46" s="169" t="s">
        <v>9</v>
      </c>
      <c r="D46" s="162"/>
      <c r="F46" s="610" t="str">
        <f>IF(Lang="Français","Ouverture parachute fusée",IF(Lang="English","Rocket parachute opening",""))</f>
        <v>Ouverture parachute fusée</v>
      </c>
      <c r="G46" s="610"/>
      <c r="H46" s="122">
        <f>T_para</f>
        <v>21.8</v>
      </c>
      <c r="I46" s="123">
        <f ca="1">INDEX(pos_z,MATCH("Para",Event_para,0))</f>
        <v>1676.0501140492172</v>
      </c>
      <c r="J46" s="123">
        <f ca="1">INDEX(pos_x,MATCH("Para",Event_para,0))</f>
        <v>351.96629763756908</v>
      </c>
      <c r="K46" s="123">
        <f ca="1">INDEX(vit_xz,MATCH("Para",Event_para,0))</f>
        <v>37.201295946308711</v>
      </c>
      <c r="L46" s="122">
        <f ca="1">INDEX(acc_xz,MATCH("Para",Event_para,0))</f>
        <v>9.3481851066211643</v>
      </c>
      <c r="M46" s="124">
        <f ca="1">INDEX(BetaD,MATCH("Para",Event_para,0))</f>
        <v>-68.180917464261469</v>
      </c>
    </row>
    <row r="47" spans="1:16" x14ac:dyDescent="0.2">
      <c r="A47" s="161"/>
      <c r="B47" s="174">
        <f>(4*B43*B45+B43^2)/10^6</f>
        <v>0.24</v>
      </c>
      <c r="D47" s="162"/>
      <c r="F47" s="628" t="str">
        <f>IF(Lang="Français","Impact fusée sous para.",IF(Lang="English","Impact of rocket with para. ",""))</f>
        <v>Impact fusée sous para.</v>
      </c>
      <c r="G47" s="628"/>
      <c r="H47" s="125">
        <f ca="1">T_para+Dt_para</f>
        <v>100.17949959908674</v>
      </c>
      <c r="I47" s="127" t="s">
        <v>16</v>
      </c>
      <c r="J47" s="126" t="str">
        <f ca="1">CONCATENATE(TEXT(X_para-Dx_para,"0")," | ",TEXT(X_para+Dx_para,"0"))</f>
        <v>-40 | 744</v>
      </c>
      <c r="K47" s="126">
        <f ca="1">V_para</f>
        <v>21.383781762096707</v>
      </c>
      <c r="L47" s="128">
        <f>g</f>
        <v>9.81</v>
      </c>
      <c r="M47" s="128" t="s">
        <v>14</v>
      </c>
    </row>
    <row r="48" spans="1:16" x14ac:dyDescent="0.2">
      <c r="A48" s="161"/>
      <c r="D48" s="162"/>
      <c r="F48" s="626" t="str">
        <f>IF(Lang="Français","Largage du satellite",IF(Lang="English","Satellite separation",""))</f>
        <v>Largage du satellite</v>
      </c>
      <c r="G48" s="614"/>
      <c r="H48" s="122">
        <f>IF(T_satellite&lt;&gt;0,T_satellite,"")</f>
        <v>3.5</v>
      </c>
      <c r="I48" s="123">
        <f ca="1">IF(T_satellite&lt;&gt;0,INDEX(pos_z,MATCH("Satellite",Event_sat,0)),"")</f>
        <v>470.86613519528169</v>
      </c>
      <c r="J48" s="129">
        <f ca="1">IF(T_satellite&lt;&gt;0,INDEX(pos_x,MATCH("Satellite",Event_sat,0)),"")</f>
        <v>50.664746324723218</v>
      </c>
      <c r="K48" s="123">
        <f ca="1">IF(T_satellite&lt;&gt;0,INDEX(vit_xz,MATCH("Satellite",Event_sat,0)),"")</f>
        <v>211.64844508881808</v>
      </c>
      <c r="L48" s="122">
        <f ca="1">IF(T_satellite&lt;&gt;0,INDEX(acc_xz,MATCH("Satellite",Event_sat,0)),"")</f>
        <v>21.279768233139347</v>
      </c>
      <c r="M48" s="124">
        <f ca="1">IF(T_satellite&lt;&gt;0,INDEX(BetaD,MATCH("Satellite",Event_sat,0)),"")</f>
        <v>83.426227655116975</v>
      </c>
    </row>
    <row r="49" spans="1:13" x14ac:dyDescent="0.2">
      <c r="A49" s="161"/>
      <c r="D49" s="162"/>
      <c r="F49" s="623" t="str">
        <f>IF(Lang="Français","Impact du satellite",IF(Lang="English","Satellite impact",""))</f>
        <v>Impact du satellite</v>
      </c>
      <c r="G49" s="624"/>
      <c r="H49" s="125">
        <f ca="1">IF(T_satellite&lt;&gt;0,T_satellite+Dt_satellite,"")</f>
        <v>40.706258561544281</v>
      </c>
      <c r="I49" s="130" t="str">
        <f>IF(T_satellite&lt;&gt;0,"~0","")</f>
        <v>~0</v>
      </c>
      <c r="J49" s="130" t="str">
        <f ca="1">IF(T_satellite&lt;&gt;0,CONCATENATE(TEXT(X_satellite-Dx_sat,"0")," | ",TEXT(X_satellite+Dx_sat,"0")),"")</f>
        <v>-135 | 237</v>
      </c>
      <c r="K49" s="130">
        <f>IF(T_satellite&lt;&gt;0,V_satellite,"")</f>
        <v>12.655562623057198</v>
      </c>
      <c r="L49" s="128">
        <f>IF(T_satellite&lt;&gt;0,g,"")</f>
        <v>9.81</v>
      </c>
      <c r="M49" s="131" t="str">
        <f>IF(T_satellite&lt;&gt;0,"-","")</f>
        <v>-</v>
      </c>
    </row>
    <row r="50" spans="1:13" x14ac:dyDescent="0.2">
      <c r="A50" s="161"/>
      <c r="B50" s="166" t="str">
        <f>IF(Lang="Français","Rayon exterieur","Half-diameter ext")</f>
        <v>Rayon exterieur</v>
      </c>
      <c r="D50" s="162"/>
    </row>
    <row r="51" spans="1:13" x14ac:dyDescent="0.2">
      <c r="A51" s="161"/>
      <c r="B51" s="168">
        <v>499</v>
      </c>
      <c r="D51" s="162"/>
    </row>
    <row r="52" spans="1:13" x14ac:dyDescent="0.2">
      <c r="A52" s="161"/>
      <c r="B52" s="166" t="str">
        <f>IF(Lang="Français","Rayon intérieur","Half-diameter int")</f>
        <v>Rayon intérieur</v>
      </c>
      <c r="D52" s="162"/>
    </row>
    <row r="53" spans="1:13" x14ac:dyDescent="0.2">
      <c r="A53" s="161"/>
      <c r="B53" s="168">
        <v>29</v>
      </c>
      <c r="D53" s="162"/>
    </row>
    <row r="54" spans="1:13" x14ac:dyDescent="0.2">
      <c r="A54" s="161"/>
      <c r="B54" s="169" t="s">
        <v>9</v>
      </c>
      <c r="D54" s="162"/>
    </row>
    <row r="55" spans="1:13" x14ac:dyDescent="0.2">
      <c r="A55" s="161"/>
      <c r="B55" s="174">
        <f>PI()*(B51^2-B53^2)/10^6</f>
        <v>0.77961763291484298</v>
      </c>
      <c r="D55" s="162"/>
    </row>
    <row r="56" spans="1:13" x14ac:dyDescent="0.2">
      <c r="A56" s="163"/>
      <c r="B56" s="164"/>
      <c r="C56" s="164"/>
      <c r="D56" s="165"/>
    </row>
    <row r="93" spans="2:2" x14ac:dyDescent="0.2">
      <c r="B93" s="24" t="str">
        <f>IF(Lang="Français","Vitesse de descente sous parachute :",IF(Lang="English","Fall velocity over parachute:",""))</f>
        <v>Vitesse de descente sous parachute :</v>
      </c>
    </row>
    <row r="102" spans="2:7" x14ac:dyDescent="0.2">
      <c r="B102" s="24" t="str">
        <f>IF(Lang="Français","Textes pour les listes déroulantes et graphiques :","Texts for drop-down lists &amp; graphics :")</f>
        <v>Textes pour les listes déroulantes et graphiques :</v>
      </c>
      <c r="F102" s="221" t="s">
        <v>407</v>
      </c>
      <c r="G102" s="1" t="s">
        <v>414</v>
      </c>
    </row>
    <row r="103" spans="2:7" x14ac:dyDescent="0.2">
      <c r="F103" s="478">
        <f ca="1">Combustion+Depotage-9</f>
        <v>-9</v>
      </c>
      <c r="G103" s="479" t="s">
        <v>409</v>
      </c>
    </row>
    <row r="104" spans="2:7" x14ac:dyDescent="0.2">
      <c r="B104" s="1" t="s">
        <v>121</v>
      </c>
      <c r="F104" s="478">
        <f ca="1">Combustion+Depotage-7</f>
        <v>-7</v>
      </c>
      <c r="G104" s="479" t="s">
        <v>410</v>
      </c>
    </row>
    <row r="105" spans="2:7" x14ac:dyDescent="0.2">
      <c r="B105" s="1" t="s">
        <v>122</v>
      </c>
      <c r="F105" s="478">
        <f ca="1">Combustion+Depotage-5</f>
        <v>-5</v>
      </c>
      <c r="G105" s="479" t="s">
        <v>411</v>
      </c>
    </row>
    <row r="106" spans="2:7" x14ac:dyDescent="0.2">
      <c r="B106" s="1" t="str">
        <f>IF(T_para&gt;0,IF(Lang="Français","Phase ascendante","Climbing phase"),"")</f>
        <v>Phase ascendante</v>
      </c>
      <c r="F106" s="478">
        <f ca="1">Combustion+Depotage-3</f>
        <v>-3</v>
      </c>
      <c r="G106" s="479" t="s">
        <v>412</v>
      </c>
    </row>
    <row r="107" spans="2:7" x14ac:dyDescent="0.2">
      <c r="B107" s="1" t="str">
        <f>IF(Lang="Français","Descente balistique","Balistic fall")</f>
        <v>Descente balistique</v>
      </c>
      <c r="F107" s="478">
        <f ca="1">Combustion+Depotage</f>
        <v>0</v>
      </c>
      <c r="G107" s="479" t="s">
        <v>413</v>
      </c>
    </row>
    <row r="108" spans="2:7" x14ac:dyDescent="0.2">
      <c r="B108" s="1" t="str">
        <f>IF(T_para&gt;0,IF(Lang="Français","Fusée sous parachute","Rocket under parachute"),"")</f>
        <v>Fusée sous parachute</v>
      </c>
      <c r="F108" s="480" t="str">
        <f>IF(Lang="Français","autre",IF(Lang="English","other",""))</f>
        <v>autre</v>
      </c>
    </row>
    <row r="109" spans="2:7" x14ac:dyDescent="0.2">
      <c r="B109" s="1" t="str">
        <f>IF(AND(Nb_sat="1 satellite",T_satellite&gt;0),IF(Lang="Français","Satellite sous parachute","Satellite over parachute"),"")</f>
        <v/>
      </c>
    </row>
    <row r="110" spans="2:7" x14ac:dyDescent="0.2">
      <c r="B110" s="1" t="str">
        <f>IF(Lang="Français","Trajectoire (x z)","Trajectory (x z)")</f>
        <v>Trajectoire (x z)</v>
      </c>
    </row>
    <row r="111" spans="2:7" x14ac:dyDescent="0.2">
      <c r="B111" s="1" t="str">
        <f>IF(Lang="Français","Portée x [m]","Range x [m]")</f>
        <v>Portée x [m]</v>
      </c>
    </row>
    <row r="112" spans="2:7" x14ac:dyDescent="0.2">
      <c r="B112" s="1" t="str">
        <f>IF(Lang="Français","Temps [s]","Time [s]")</f>
        <v>Temps [s]</v>
      </c>
    </row>
    <row r="113" spans="2:3" x14ac:dyDescent="0.2">
      <c r="B113" s="1" t="str">
        <f>IF(Lang="Français","Altitude z  /  Temps","Altitude z  /  Time")</f>
        <v>Altitude z  /  Temps</v>
      </c>
      <c r="C113" s="1">
        <f>IF(OR(C25=F102,C25=F108),C26,C25)</f>
        <v>21.8</v>
      </c>
    </row>
    <row r="115" spans="2:3" x14ac:dyDescent="0.2">
      <c r="B115" s="1" t="s">
        <v>408</v>
      </c>
    </row>
    <row r="117" spans="2:3" x14ac:dyDescent="0.2">
      <c r="B117" s="24" t="str">
        <f>IF(Lang="Français","Données pour les graphiques :","Data for plots:")</f>
        <v>Données pour les graphiques :</v>
      </c>
      <c r="C117" s="211" t="s">
        <v>48</v>
      </c>
    </row>
    <row r="118" spans="2:3" x14ac:dyDescent="0.2">
      <c r="C118" s="216">
        <f ca="1">MAX(Altitude_culmi,Portee_balistique)</f>
        <v>1738.4460976679284</v>
      </c>
    </row>
    <row r="119" spans="2:3" x14ac:dyDescent="0.2">
      <c r="B119" s="210" t="s">
        <v>48</v>
      </c>
    </row>
    <row r="120" spans="2:3" x14ac:dyDescent="0.2">
      <c r="B120" s="218">
        <f ca="1">MAX(Altitude_culmi,Portee_balistique)</f>
        <v>1738.4460976679284</v>
      </c>
      <c r="C120" s="211" t="s">
        <v>46</v>
      </c>
    </row>
    <row r="121" spans="2:3" x14ac:dyDescent="0.2">
      <c r="C121" s="214">
        <f ca="1">Alt_para</f>
        <v>1676.0501140492172</v>
      </c>
    </row>
    <row r="122" spans="2:3" x14ac:dyDescent="0.2">
      <c r="B122" s="210" t="s">
        <v>50</v>
      </c>
      <c r="C122" s="214">
        <f ca="1">Alt_para/2</f>
        <v>838.0250570246086</v>
      </c>
    </row>
    <row r="123" spans="2:3" x14ac:dyDescent="0.2">
      <c r="B123" s="217">
        <f ca="1">X_para</f>
        <v>351.96629763756908</v>
      </c>
      <c r="C123" s="214">
        <v>0</v>
      </c>
    </row>
    <row r="124" spans="2:3" x14ac:dyDescent="0.2">
      <c r="B124" s="217">
        <f ca="1">X_para</f>
        <v>351.96629763756908</v>
      </c>
      <c r="C124" s="214">
        <f ca="1">Alt_para/20</f>
        <v>83.802505702460863</v>
      </c>
    </row>
    <row r="125" spans="2:3" x14ac:dyDescent="0.2">
      <c r="B125" s="217">
        <f ca="1">X_para</f>
        <v>351.96629763756908</v>
      </c>
      <c r="C125" s="214">
        <v>0</v>
      </c>
    </row>
    <row r="126" spans="2:3" x14ac:dyDescent="0.2">
      <c r="B126" s="217">
        <f ca="1">X_para+Alt_para/40</f>
        <v>393.86755048879951</v>
      </c>
      <c r="C126" s="214">
        <f ca="1">Alt_para/20</f>
        <v>83.802505702460863</v>
      </c>
    </row>
    <row r="127" spans="2:3" x14ac:dyDescent="0.2">
      <c r="B127" s="217">
        <f ca="1">X_para</f>
        <v>351.96629763756908</v>
      </c>
      <c r="C127" s="219">
        <v>0</v>
      </c>
    </row>
    <row r="128" spans="2:3" x14ac:dyDescent="0.2">
      <c r="B128" s="217">
        <f ca="1">X_para-Alt_para/40</f>
        <v>310.06504478633866</v>
      </c>
      <c r="C128" s="211" t="s">
        <v>46</v>
      </c>
    </row>
    <row r="129" spans="2:6" x14ac:dyDescent="0.2">
      <c r="B129" s="218">
        <f ca="1">X_para</f>
        <v>351.96629763756908</v>
      </c>
      <c r="C129" s="214">
        <f ca="1">Alt_para</f>
        <v>1676.0501140492172</v>
      </c>
      <c r="E129" s="232">
        <v>1</v>
      </c>
      <c r="F129" s="233" t="s">
        <v>176</v>
      </c>
    </row>
    <row r="130" spans="2:6" x14ac:dyDescent="0.2">
      <c r="B130" s="210" t="s">
        <v>49</v>
      </c>
      <c r="C130" s="214">
        <f ca="1">(C129+C131)/2</f>
        <v>838.0250570246086</v>
      </c>
      <c r="E130" s="161">
        <v>1</v>
      </c>
      <c r="F130" s="234" t="s">
        <v>177</v>
      </c>
    </row>
    <row r="131" spans="2:6" x14ac:dyDescent="0.2">
      <c r="B131" s="213">
        <f>T_para</f>
        <v>21.8</v>
      </c>
      <c r="C131" s="214">
        <f>0</f>
        <v>0</v>
      </c>
      <c r="E131" s="161"/>
      <c r="F131" s="241" t="s">
        <v>178</v>
      </c>
    </row>
    <row r="132" spans="2:6" x14ac:dyDescent="0.2">
      <c r="B132" s="213">
        <f ca="1">(B131+B133)/2</f>
        <v>60.989749799543368</v>
      </c>
      <c r="C132" s="214">
        <f ca="1">Alt_para-V_para*(H47-T_para)+E129*sS*Altitude_culmi/H47*zZ_fus+E130*sS/2*Altitude_culmi/H47*tT_fus</f>
        <v>95.118873068625589</v>
      </c>
      <c r="E132" s="235" t="s">
        <v>173</v>
      </c>
      <c r="F132" s="236">
        <f ca="1">T_balistique/10</f>
        <v>3.9400000000000248</v>
      </c>
    </row>
    <row r="133" spans="2:6" x14ac:dyDescent="0.2">
      <c r="B133" s="213">
        <f ca="1">H47</f>
        <v>100.17949959908674</v>
      </c>
      <c r="C133" s="214">
        <f ca="1">Alt_para-V_para*(H47-T_para)</f>
        <v>0</v>
      </c>
      <c r="E133" s="235" t="s">
        <v>174</v>
      </c>
      <c r="F133" s="236">
        <f ca="1">(H47-T_para)/H47</f>
        <v>0.78239060798623983</v>
      </c>
    </row>
    <row r="134" spans="2:6" x14ac:dyDescent="0.2">
      <c r="B134" s="213">
        <f ca="1">H47+E129*sS/2*zZ_fus-E130*sS*tT_fus</f>
        <v>99.066880603620945</v>
      </c>
      <c r="C134" s="214">
        <f ca="1">Alt_para-V_para*(H47-T_para)+E129*sS*Altitude_culmi/H47*zZ_fus-E130*sS/2*Altitude_culmi/H47*tT_fus</f>
        <v>41.625224321018834</v>
      </c>
      <c r="E134" s="237" t="s">
        <v>175</v>
      </c>
      <c r="F134" s="238">
        <f ca="1">V_para*(H47-T_para)/Alt_para</f>
        <v>1</v>
      </c>
    </row>
    <row r="135" spans="2:6" x14ac:dyDescent="0.2">
      <c r="B135" s="213">
        <f ca="1">H47</f>
        <v>100.17949959908674</v>
      </c>
      <c r="C135" s="216">
        <f ca="1">Alt_para-V_para*(H47-T_para)</f>
        <v>0</v>
      </c>
    </row>
    <row r="136" spans="2:6" x14ac:dyDescent="0.2">
      <c r="B136" s="213">
        <f ca="1">H47-E129*sS/2*zZ_fus-E130*sS*tT_fus</f>
        <v>95.126880603620918</v>
      </c>
    </row>
    <row r="137" spans="2:6" x14ac:dyDescent="0.2">
      <c r="B137" s="215">
        <f ca="1">H47</f>
        <v>100.17949959908674</v>
      </c>
      <c r="C137" s="211" t="s">
        <v>47</v>
      </c>
    </row>
    <row r="138" spans="2:6" x14ac:dyDescent="0.2">
      <c r="C138" s="214" t="b">
        <f>IF(Nb_sat="1 satellite",Alt_sat)</f>
        <v>0</v>
      </c>
    </row>
    <row r="139" spans="2:6" x14ac:dyDescent="0.2">
      <c r="B139" s="210" t="s">
        <v>52</v>
      </c>
      <c r="C139" s="214" t="b">
        <f>IF(Nb_sat="1 satellite",Alt_sat*1/4)</f>
        <v>0</v>
      </c>
    </row>
    <row r="140" spans="2:6" x14ac:dyDescent="0.2">
      <c r="B140" s="217" t="b">
        <f>IF(Nb_sat="1 satellite",X_satellite)</f>
        <v>0</v>
      </c>
      <c r="C140" s="214" t="b">
        <f>IF(Nb_sat="1 satellite",0)</f>
        <v>0</v>
      </c>
    </row>
    <row r="141" spans="2:6" x14ac:dyDescent="0.2">
      <c r="B141" s="217" t="b">
        <f>IF(Nb_sat="1 satellite",X_satellite)</f>
        <v>0</v>
      </c>
      <c r="C141" s="214" t="b">
        <f>IF(Nb_sat="1 satellite",Alt_sat/20)</f>
        <v>0</v>
      </c>
    </row>
    <row r="142" spans="2:6" x14ac:dyDescent="0.2">
      <c r="B142" s="217" t="b">
        <f>IF(Nb_sat="1 satellite",X_satellite)</f>
        <v>0</v>
      </c>
      <c r="C142" s="214" t="b">
        <f>IF(Nb_sat="1 satellite",0)</f>
        <v>0</v>
      </c>
    </row>
    <row r="143" spans="2:6" x14ac:dyDescent="0.2">
      <c r="B143" s="217" t="b">
        <f>IF(Nb_sat="1 satellite",X_satellite+Alt_sat/40)</f>
        <v>0</v>
      </c>
      <c r="C143" s="214" t="b">
        <f>IF(Nb_sat="1 satellite",Alt_sat/20)</f>
        <v>0</v>
      </c>
    </row>
    <row r="144" spans="2:6" x14ac:dyDescent="0.2">
      <c r="B144" s="217" t="b">
        <f>IF(Nb_sat="1 satellite",X_satellite)</f>
        <v>0</v>
      </c>
      <c r="C144" s="214" t="b">
        <f>IF(Nb_sat="1 satellite",0)</f>
        <v>0</v>
      </c>
    </row>
    <row r="145" spans="2:6" x14ac:dyDescent="0.2">
      <c r="B145" s="217" t="b">
        <f>IF(Nb_sat="1 satellite",X_satellite-Alt_sat/40)</f>
        <v>0</v>
      </c>
      <c r="C145" s="211" t="s">
        <v>47</v>
      </c>
    </row>
    <row r="146" spans="2:6" x14ac:dyDescent="0.2">
      <c r="B146" s="218" t="b">
        <f>IF(Nb_sat="1 satellite",X_satellite)</f>
        <v>0</v>
      </c>
      <c r="C146" s="214" t="b">
        <f>IF(Nb_sat="1 satellite",Alt_sat)</f>
        <v>0</v>
      </c>
      <c r="D146" s="221"/>
    </row>
    <row r="147" spans="2:6" x14ac:dyDescent="0.2">
      <c r="B147" s="210" t="s">
        <v>51</v>
      </c>
      <c r="C147" s="214">
        <f>(C146+C148)/2</f>
        <v>0</v>
      </c>
      <c r="D147" s="221"/>
    </row>
    <row r="148" spans="2:6" x14ac:dyDescent="0.2">
      <c r="B148" s="213" t="b">
        <f>IF(Nb_sat="1 satellite",T_satellite)</f>
        <v>0</v>
      </c>
      <c r="C148" s="214" t="b">
        <f>IF(Nb_sat="1 satellite",0)</f>
        <v>0</v>
      </c>
    </row>
    <row r="149" spans="2:6" x14ac:dyDescent="0.2">
      <c r="B149" s="213">
        <f>(B148+B150)/2</f>
        <v>0</v>
      </c>
      <c r="C149" s="214" t="b">
        <f>IF(Nb_sat="1 satellite",Alt_sat-V_satellite*(H49-T_satellite)+E129*sS*Altitude_culmi/H49*zZ_sat+E130*sS/2*Altitude_culmi/H49*tT_sat)</f>
        <v>0</v>
      </c>
      <c r="D149" s="221"/>
    </row>
    <row r="150" spans="2:6" x14ac:dyDescent="0.2">
      <c r="B150" s="213" t="b">
        <f>IF(Nb_sat="1 satellite",H49)</f>
        <v>0</v>
      </c>
      <c r="C150" s="214" t="b">
        <f>IF(Nb_sat="1 satellite",0)</f>
        <v>0</v>
      </c>
      <c r="E150" s="239" t="s">
        <v>174</v>
      </c>
      <c r="F150" s="240">
        <f ca="1">(T_balistique-T_satellite)/T_balistique</f>
        <v>0.9111675126903559</v>
      </c>
    </row>
    <row r="151" spans="2:6" x14ac:dyDescent="0.2">
      <c r="B151" s="213" t="b">
        <f>IF(Nb_sat="1 satellite",H49+E129*sS/2*zZ_sat-E130*sS*tT_sat)</f>
        <v>0</v>
      </c>
      <c r="C151" s="214" t="b">
        <f>IF(Nb_sat="1 satellite",Alt_sat-V_satellite*(H49-T_satellite)+E129*sS*Altitude_culmi/H49*zZ_sat-E130*sS/2*Altitude_culmi/H49*tT_sat)</f>
        <v>0</v>
      </c>
      <c r="E151" s="237" t="s">
        <v>175</v>
      </c>
      <c r="F151" s="238">
        <f ca="1">V_satellite*(T_balistique-T_satellite)/Alt_sat</f>
        <v>0.96489142923674243</v>
      </c>
    </row>
    <row r="152" spans="2:6" x14ac:dyDescent="0.2">
      <c r="B152" s="213" t="b">
        <f>IF(Nb_sat="1 satellite",H49)</f>
        <v>0</v>
      </c>
      <c r="C152" s="216" t="b">
        <f>IF(Nb_sat="1 satellite",0)</f>
        <v>0</v>
      </c>
    </row>
    <row r="153" spans="2:6" x14ac:dyDescent="0.2">
      <c r="B153" s="213" t="b">
        <f>IF(Nb_sat="1 satellite",H49-sS/2*zZ_sat-E130*sS*tT_sat)</f>
        <v>0</v>
      </c>
    </row>
    <row r="154" spans="2:6" x14ac:dyDescent="0.2">
      <c r="B154" s="215" t="b">
        <f>IF(Nb_sat="1 satellite",H49)</f>
        <v>0</v>
      </c>
      <c r="C154" s="228" t="s">
        <v>29</v>
      </c>
      <c r="D154" s="211" t="s">
        <v>3</v>
      </c>
    </row>
    <row r="155" spans="2:6" x14ac:dyDescent="0.2">
      <c r="C155" s="82">
        <f ca="1">Alt_para/2</f>
        <v>838.0250570246086</v>
      </c>
      <c r="D155" s="214">
        <f ca="1">X_para/4</f>
        <v>87.991574409392271</v>
      </c>
    </row>
    <row r="156" spans="2:6" x14ac:dyDescent="0.2">
      <c r="B156" s="210" t="s">
        <v>2</v>
      </c>
      <c r="C156" s="230">
        <f ca="1">Altitude_culmi/2</f>
        <v>869.22304883396419</v>
      </c>
      <c r="D156" s="216">
        <f ca="1">X_culmi+(Portee_balistique-X_culmi)*2/3</f>
        <v>459.93083882898475</v>
      </c>
    </row>
    <row r="157" spans="2:6" x14ac:dyDescent="0.2">
      <c r="B157" s="231">
        <f>T_para/4</f>
        <v>5.45</v>
      </c>
    </row>
    <row r="158" spans="2:6" x14ac:dyDescent="0.2">
      <c r="B158" s="229">
        <f ca="1">Temps_culmi + (T_balistique-Temps_culmi)/2</f>
        <v>28.800000000000097</v>
      </c>
      <c r="C158" s="228" t="s">
        <v>302</v>
      </c>
      <c r="D158" s="422" t="s">
        <v>304</v>
      </c>
      <c r="E158" s="422"/>
      <c r="F158" s="423" t="s">
        <v>304</v>
      </c>
    </row>
    <row r="159" spans="2:6" x14ac:dyDescent="0.2">
      <c r="C159" s="5">
        <v>0</v>
      </c>
      <c r="D159" s="82">
        <f t="shared" ref="D159:D174" ca="1" si="0">X_culmi+C159</f>
        <v>301.25810185743023</v>
      </c>
      <c r="E159" s="82"/>
      <c r="F159" s="214">
        <f t="shared" ref="F159:F174" ca="1" si="1">X_culmi-C159</f>
        <v>301.25810185743023</v>
      </c>
    </row>
    <row r="160" spans="2:6" x14ac:dyDescent="0.2">
      <c r="B160" s="210" t="s">
        <v>303</v>
      </c>
      <c r="C160" s="5">
        <v>23</v>
      </c>
      <c r="D160" s="82">
        <f t="shared" ca="1" si="0"/>
        <v>324.25810185743023</v>
      </c>
      <c r="E160" s="82"/>
      <c r="F160" s="214">
        <f t="shared" ca="1" si="1"/>
        <v>278.25810185743023</v>
      </c>
    </row>
    <row r="161" spans="2:6" x14ac:dyDescent="0.2">
      <c r="B161" s="231" t="e">
        <f ca="1">IF(AND(Altitude_culmi&gt;80, Altitude_culmi&lt;=350), 49, NA())</f>
        <v>#N/A</v>
      </c>
      <c r="C161" s="5">
        <v>23</v>
      </c>
      <c r="D161" s="82">
        <f t="shared" ca="1" si="0"/>
        <v>324.25810185743023</v>
      </c>
      <c r="E161" s="82"/>
      <c r="F161" s="214">
        <f t="shared" ca="1" si="1"/>
        <v>278.25810185743023</v>
      </c>
    </row>
    <row r="162" spans="2:6" x14ac:dyDescent="0.2">
      <c r="B162" s="231" t="e">
        <f ca="1">IF(AND(Altitude_culmi&gt;80, Altitude_culmi&lt;=350), 49, NA())</f>
        <v>#N/A</v>
      </c>
      <c r="C162" s="5">
        <v>0</v>
      </c>
      <c r="D162" s="82">
        <f t="shared" ca="1" si="0"/>
        <v>301.25810185743023</v>
      </c>
      <c r="E162" s="82"/>
      <c r="F162" s="214">
        <f t="shared" ca="1" si="1"/>
        <v>301.25810185743023</v>
      </c>
    </row>
    <row r="163" spans="2:6" x14ac:dyDescent="0.2">
      <c r="B163" s="231" t="e">
        <f ca="1">IF(AND(Altitude_culmi&gt;80, Altitude_culmi&lt;=350), 43, NA())</f>
        <v>#N/A</v>
      </c>
      <c r="C163" s="5">
        <v>23</v>
      </c>
      <c r="D163" s="82">
        <f t="shared" ca="1" si="0"/>
        <v>324.25810185743023</v>
      </c>
      <c r="E163" s="82"/>
      <c r="F163" s="214">
        <f t="shared" ca="1" si="1"/>
        <v>278.25810185743023</v>
      </c>
    </row>
    <row r="164" spans="2:6" x14ac:dyDescent="0.2">
      <c r="B164" s="231" t="e">
        <f ca="1">IF(AND(Altitude_culmi&gt;80, Altitude_culmi&lt;=350), 43, NA())</f>
        <v>#N/A</v>
      </c>
      <c r="C164" s="5">
        <v>23</v>
      </c>
      <c r="D164" s="82">
        <f t="shared" ca="1" si="0"/>
        <v>324.25810185743023</v>
      </c>
      <c r="E164" s="82"/>
      <c r="F164" s="214">
        <f t="shared" ca="1" si="1"/>
        <v>278.25810185743023</v>
      </c>
    </row>
    <row r="165" spans="2:6" x14ac:dyDescent="0.2">
      <c r="B165" s="231" t="e">
        <f ca="1">IF(AND(Altitude_culmi&gt;80, Altitude_culmi&lt;=350), 43, NA())</f>
        <v>#N/A</v>
      </c>
      <c r="C165" s="5">
        <v>8</v>
      </c>
      <c r="D165" s="82">
        <f t="shared" ca="1" si="0"/>
        <v>309.25810185743023</v>
      </c>
      <c r="E165" s="82"/>
      <c r="F165" s="214">
        <f t="shared" ca="1" si="1"/>
        <v>293.25810185743023</v>
      </c>
    </row>
    <row r="166" spans="2:6" x14ac:dyDescent="0.2">
      <c r="B166" s="231" t="e">
        <f ca="1">IF(AND(Altitude_culmi&gt;80, Altitude_culmi&lt;=350), 0.5, NA())</f>
        <v>#N/A</v>
      </c>
      <c r="C166" s="5">
        <v>8</v>
      </c>
      <c r="D166" s="82">
        <f t="shared" ca="1" si="0"/>
        <v>309.25810185743023</v>
      </c>
      <c r="E166" s="82"/>
      <c r="F166" s="214">
        <f t="shared" ca="1" si="1"/>
        <v>293.25810185743023</v>
      </c>
    </row>
    <row r="167" spans="2:6" x14ac:dyDescent="0.2">
      <c r="B167" s="231" t="e">
        <f ca="1">IF(AND(Altitude_culmi&gt;80, Altitude_culmi&lt;=350), 0.5, NA())</f>
        <v>#N/A</v>
      </c>
      <c r="C167" s="5">
        <v>23</v>
      </c>
      <c r="D167" s="82">
        <f t="shared" ca="1" si="0"/>
        <v>324.25810185743023</v>
      </c>
      <c r="E167" s="82"/>
      <c r="F167" s="214">
        <f t="shared" ca="1" si="1"/>
        <v>278.25810185743023</v>
      </c>
    </row>
    <row r="168" spans="2:6" x14ac:dyDescent="0.2">
      <c r="B168" s="231" t="e">
        <f ca="1">IF(AND(Altitude_culmi&gt;80, Altitude_culmi&lt;=350), 27, NA())</f>
        <v>#N/A</v>
      </c>
      <c r="C168" s="5">
        <v>8</v>
      </c>
      <c r="D168" s="82">
        <f t="shared" ca="1" si="0"/>
        <v>309.25810185743023</v>
      </c>
      <c r="E168" s="82"/>
      <c r="F168" s="214">
        <f t="shared" ca="1" si="1"/>
        <v>293.25810185743023</v>
      </c>
    </row>
    <row r="169" spans="2:6" x14ac:dyDescent="0.2">
      <c r="B169" s="231" t="e">
        <f ca="1">IF(AND(Altitude_culmi&gt;80, Altitude_culmi&lt;=350), 27, NA())</f>
        <v>#N/A</v>
      </c>
      <c r="C169" s="5">
        <v>7.6</v>
      </c>
      <c r="D169" s="82">
        <f t="shared" ca="1" si="0"/>
        <v>308.85810185743026</v>
      </c>
      <c r="E169" s="82"/>
      <c r="F169" s="214">
        <f t="shared" ca="1" si="1"/>
        <v>293.65810185743021</v>
      </c>
    </row>
    <row r="170" spans="2:6" x14ac:dyDescent="0.2">
      <c r="B170" s="231" t="e">
        <f ca="1">IF(AND(Altitude_culmi&gt;80, Altitude_culmi&lt;=350), 27, NA())</f>
        <v>#N/A</v>
      </c>
      <c r="C170" s="5">
        <v>6.8</v>
      </c>
      <c r="D170" s="82">
        <f t="shared" ca="1" si="0"/>
        <v>308.05810185743024</v>
      </c>
      <c r="E170" s="82"/>
      <c r="F170" s="214">
        <f t="shared" ca="1" si="1"/>
        <v>294.45810185743022</v>
      </c>
    </row>
    <row r="171" spans="2:6" x14ac:dyDescent="0.2">
      <c r="B171" s="231" t="e">
        <f ca="1">IF(AND(Altitude_culmi&gt;80, Altitude_culmi&lt;=350), 29, NA())</f>
        <v>#N/A</v>
      </c>
      <c r="C171" s="5">
        <v>6</v>
      </c>
      <c r="D171" s="82">
        <f t="shared" ca="1" si="0"/>
        <v>307.25810185743023</v>
      </c>
      <c r="E171" s="82"/>
      <c r="F171" s="214">
        <f t="shared" ca="1" si="1"/>
        <v>295.25810185743023</v>
      </c>
    </row>
    <row r="172" spans="2:6" x14ac:dyDescent="0.2">
      <c r="B172" s="231" t="e">
        <f ca="1">IF(AND(Altitude_culmi&gt;80, Altitude_culmi&lt;=350), 31, NA())</f>
        <v>#N/A</v>
      </c>
      <c r="C172" s="5">
        <v>5</v>
      </c>
      <c r="D172" s="82">
        <f t="shared" ca="1" si="0"/>
        <v>306.25810185743023</v>
      </c>
      <c r="E172" s="82"/>
      <c r="F172" s="214">
        <f t="shared" ca="1" si="1"/>
        <v>296.25810185743023</v>
      </c>
    </row>
    <row r="173" spans="2:6" x14ac:dyDescent="0.2">
      <c r="B173" s="231" t="e">
        <f ca="1">IF(AND(Altitude_culmi&gt;80, Altitude_culmi&lt;=350), 32, NA())</f>
        <v>#N/A</v>
      </c>
      <c r="C173" s="5">
        <v>3.8</v>
      </c>
      <c r="D173" s="82">
        <f t="shared" ca="1" si="0"/>
        <v>305.05810185743024</v>
      </c>
      <c r="E173" s="82"/>
      <c r="F173" s="214">
        <f t="shared" ca="1" si="1"/>
        <v>297.45810185743022</v>
      </c>
    </row>
    <row r="174" spans="2:6" x14ac:dyDescent="0.2">
      <c r="B174" s="231" t="e">
        <f ca="1">IF(AND(Altitude_culmi&gt;80, Altitude_culmi&lt;=350), 33, NA())</f>
        <v>#N/A</v>
      </c>
      <c r="C174" s="421">
        <v>0</v>
      </c>
      <c r="D174" s="230">
        <f t="shared" ca="1" si="0"/>
        <v>301.25810185743023</v>
      </c>
      <c r="E174" s="230"/>
      <c r="F174" s="216">
        <f t="shared" ca="1" si="1"/>
        <v>301.25810185743023</v>
      </c>
    </row>
    <row r="175" spans="2:6" x14ac:dyDescent="0.2">
      <c r="B175" s="231" t="e">
        <f ca="1">IF(AND(Altitude_culmi&gt;80, Altitude_culmi&lt;=350), 34, NA())</f>
        <v>#N/A</v>
      </c>
    </row>
    <row r="176" spans="2:6" x14ac:dyDescent="0.2">
      <c r="B176" s="229" t="e">
        <f ca="1">IF(AND(Altitude_culmi&gt;80, Altitude_culmi&lt;=350), 35, NA())</f>
        <v>#N/A</v>
      </c>
      <c r="C176" s="228" t="s">
        <v>306</v>
      </c>
      <c r="D176" s="228" t="s">
        <v>307</v>
      </c>
      <c r="E176" s="228"/>
      <c r="F176" s="211" t="s">
        <v>307</v>
      </c>
    </row>
    <row r="177" spans="2:6" x14ac:dyDescent="0.2">
      <c r="C177" s="5">
        <v>0</v>
      </c>
      <c r="D177" s="82">
        <f t="shared" ref="D177:D197" ca="1" si="2">X_culmi+C177</f>
        <v>301.25810185743023</v>
      </c>
      <c r="E177" s="82"/>
      <c r="F177" s="214">
        <f t="shared" ref="F177:F197" ca="1" si="3">X_culmi-C177</f>
        <v>301.25810185743023</v>
      </c>
    </row>
    <row r="178" spans="2:6" x14ac:dyDescent="0.2">
      <c r="B178" s="210" t="s">
        <v>305</v>
      </c>
      <c r="C178" s="5">
        <v>0</v>
      </c>
      <c r="D178" s="82">
        <f t="shared" ca="1" si="2"/>
        <v>301.25810185743023</v>
      </c>
      <c r="E178" s="82"/>
      <c r="F178" s="214">
        <f t="shared" ca="1" si="3"/>
        <v>301.25810185743023</v>
      </c>
    </row>
    <row r="179" spans="2:6" x14ac:dyDescent="0.2">
      <c r="B179" s="231">
        <f ca="1">IF(Altitude_culmi&gt;350, 324, NA())</f>
        <v>324</v>
      </c>
      <c r="C179" s="5">
        <v>10</v>
      </c>
      <c r="D179" s="82">
        <f t="shared" ca="1" si="2"/>
        <v>311.25810185743023</v>
      </c>
      <c r="E179" s="82"/>
      <c r="F179" s="214">
        <f t="shared" ca="1" si="3"/>
        <v>291.25810185743023</v>
      </c>
    </row>
    <row r="180" spans="2:6" x14ac:dyDescent="0.2">
      <c r="B180" s="231">
        <f ca="1">IF(Altitude_culmi&gt;350, 300, NA())</f>
        <v>300</v>
      </c>
      <c r="C180" s="5">
        <v>0</v>
      </c>
      <c r="D180" s="82">
        <f t="shared" ca="1" si="2"/>
        <v>301.25810185743023</v>
      </c>
      <c r="E180" s="82"/>
      <c r="F180" s="214">
        <f t="shared" ca="1" si="3"/>
        <v>301.25810185743023</v>
      </c>
    </row>
    <row r="181" spans="2:6" x14ac:dyDescent="0.2">
      <c r="B181" s="231">
        <f ca="1">IF(Altitude_culmi&gt;350, 280, NA())</f>
        <v>280</v>
      </c>
      <c r="C181" s="5">
        <v>10</v>
      </c>
      <c r="D181" s="82">
        <f t="shared" ca="1" si="2"/>
        <v>311.25810185743023</v>
      </c>
      <c r="E181" s="82"/>
      <c r="F181" s="214">
        <f t="shared" ca="1" si="3"/>
        <v>291.25810185743023</v>
      </c>
    </row>
    <row r="182" spans="2:6" x14ac:dyDescent="0.2">
      <c r="B182" s="231">
        <f ca="1">IF(Altitude_culmi&gt;350, 280, NA())</f>
        <v>280</v>
      </c>
      <c r="C182" s="5">
        <v>13</v>
      </c>
      <c r="D182" s="82">
        <f t="shared" ca="1" si="2"/>
        <v>314.25810185743023</v>
      </c>
      <c r="E182" s="82"/>
      <c r="F182" s="214">
        <f t="shared" ca="1" si="3"/>
        <v>288.25810185743023</v>
      </c>
    </row>
    <row r="183" spans="2:6" x14ac:dyDescent="0.2">
      <c r="B183" s="231">
        <f ca="1">IF(Altitude_culmi&gt;350, 280, NA())</f>
        <v>280</v>
      </c>
      <c r="C183" s="5">
        <v>17</v>
      </c>
      <c r="D183" s="82">
        <f t="shared" ca="1" si="2"/>
        <v>318.25810185743023</v>
      </c>
      <c r="E183" s="82"/>
      <c r="F183" s="214">
        <f t="shared" ca="1" si="3"/>
        <v>284.25810185743023</v>
      </c>
    </row>
    <row r="184" spans="2:6" x14ac:dyDescent="0.2">
      <c r="B184" s="231">
        <f ca="1">IF(Altitude_culmi&gt;350, 200, NA())</f>
        <v>200</v>
      </c>
      <c r="C184" s="5">
        <v>20</v>
      </c>
      <c r="D184" s="82">
        <f t="shared" ca="1" si="2"/>
        <v>321.25810185743023</v>
      </c>
      <c r="E184" s="82"/>
      <c r="F184" s="214">
        <f t="shared" ca="1" si="3"/>
        <v>281.25810185743023</v>
      </c>
    </row>
    <row r="185" spans="2:6" x14ac:dyDescent="0.2">
      <c r="B185" s="231">
        <f ca="1">IF(Altitude_culmi&gt;350, 160, NA())</f>
        <v>160</v>
      </c>
      <c r="C185" s="5">
        <v>25</v>
      </c>
      <c r="D185" s="82">
        <f t="shared" ca="1" si="2"/>
        <v>326.25810185743023</v>
      </c>
      <c r="E185" s="82"/>
      <c r="F185" s="214">
        <f t="shared" ca="1" si="3"/>
        <v>276.25810185743023</v>
      </c>
    </row>
    <row r="186" spans="2:6" x14ac:dyDescent="0.2">
      <c r="B186" s="231">
        <f ca="1">IF(Altitude_culmi&gt;350, 115, NA())</f>
        <v>115</v>
      </c>
      <c r="C186" s="5">
        <v>30</v>
      </c>
      <c r="D186" s="82">
        <f t="shared" ca="1" si="2"/>
        <v>331.25810185743023</v>
      </c>
      <c r="E186" s="82"/>
      <c r="F186" s="214">
        <f t="shared" ca="1" si="3"/>
        <v>271.25810185743023</v>
      </c>
    </row>
    <row r="187" spans="2:6" x14ac:dyDescent="0.2">
      <c r="B187" s="231">
        <f ca="1">IF(Altitude_culmi&gt;350, 90, NA())</f>
        <v>90</v>
      </c>
      <c r="C187" s="5">
        <v>36</v>
      </c>
      <c r="D187" s="82">
        <f t="shared" ca="1" si="2"/>
        <v>337.25810185743023</v>
      </c>
      <c r="E187" s="82"/>
      <c r="F187" s="214">
        <f t="shared" ca="1" si="3"/>
        <v>265.25810185743023</v>
      </c>
    </row>
    <row r="188" spans="2:6" x14ac:dyDescent="0.2">
      <c r="B188" s="231">
        <f ca="1">IF(Altitude_culmi&gt;350, 57, NA())</f>
        <v>57</v>
      </c>
      <c r="C188" s="5">
        <v>48</v>
      </c>
      <c r="D188" s="82">
        <f t="shared" ca="1" si="2"/>
        <v>349.25810185743023</v>
      </c>
      <c r="E188" s="82"/>
      <c r="F188" s="214">
        <f t="shared" ca="1" si="3"/>
        <v>253.25810185743023</v>
      </c>
    </row>
    <row r="189" spans="2:6" x14ac:dyDescent="0.2">
      <c r="B189" s="231">
        <f ca="1">IF(Altitude_culmi&gt;350, 40, NA())</f>
        <v>40</v>
      </c>
      <c r="C189" s="5">
        <v>62</v>
      </c>
      <c r="D189" s="82">
        <f t="shared" ca="1" si="2"/>
        <v>363.25810185743023</v>
      </c>
      <c r="E189" s="82"/>
      <c r="F189" s="214">
        <f t="shared" ca="1" si="3"/>
        <v>239.25810185743023</v>
      </c>
    </row>
    <row r="190" spans="2:6" x14ac:dyDescent="0.2">
      <c r="B190" s="231">
        <f ca="1">IF(Altitude_culmi&gt;350, 20, NA())</f>
        <v>20</v>
      </c>
      <c r="C190" s="5">
        <v>37</v>
      </c>
      <c r="D190" s="82">
        <f t="shared" ca="1" si="2"/>
        <v>338.25810185743023</v>
      </c>
      <c r="E190" s="82"/>
      <c r="F190" s="214">
        <f t="shared" ca="1" si="3"/>
        <v>264.25810185743023</v>
      </c>
    </row>
    <row r="191" spans="2:6" x14ac:dyDescent="0.2">
      <c r="B191" s="231">
        <f ca="1">IF(Altitude_culmi&gt;350, 0.5, NA())</f>
        <v>0.5</v>
      </c>
      <c r="C191" s="5">
        <v>30</v>
      </c>
      <c r="D191" s="82">
        <f t="shared" ca="1" si="2"/>
        <v>331.25810185743023</v>
      </c>
      <c r="E191" s="82"/>
      <c r="F191" s="214">
        <f t="shared" ca="1" si="3"/>
        <v>271.25810185743023</v>
      </c>
    </row>
    <row r="192" spans="2:6" x14ac:dyDescent="0.2">
      <c r="B192" s="231">
        <f ca="1">IF(Altitude_culmi&gt;350, 0.5, NA())</f>
        <v>0.5</v>
      </c>
      <c r="C192" s="5">
        <v>15</v>
      </c>
      <c r="D192" s="82">
        <f t="shared" ca="1" si="2"/>
        <v>316.25810185743023</v>
      </c>
      <c r="E192" s="82"/>
      <c r="F192" s="214">
        <f t="shared" ca="1" si="3"/>
        <v>286.25810185743023</v>
      </c>
    </row>
    <row r="193" spans="2:6" x14ac:dyDescent="0.2">
      <c r="B193" s="231">
        <f ca="1">IF(Altitude_culmi&gt;350, 15, NA())</f>
        <v>15</v>
      </c>
      <c r="C193" s="5">
        <v>0</v>
      </c>
      <c r="D193" s="82">
        <f t="shared" ca="1" si="2"/>
        <v>301.25810185743023</v>
      </c>
      <c r="E193" s="82"/>
      <c r="F193" s="214">
        <f t="shared" ca="1" si="3"/>
        <v>301.25810185743023</v>
      </c>
    </row>
    <row r="194" spans="2:6" x14ac:dyDescent="0.2">
      <c r="B194" s="231">
        <f ca="1">IF(Altitude_culmi&gt;350, 30, NA())</f>
        <v>30</v>
      </c>
      <c r="C194" s="5">
        <v>0</v>
      </c>
      <c r="D194" s="82">
        <f t="shared" ca="1" si="2"/>
        <v>301.25810185743023</v>
      </c>
      <c r="E194" s="82"/>
      <c r="F194" s="214">
        <f t="shared" ca="1" si="3"/>
        <v>301.25810185743023</v>
      </c>
    </row>
    <row r="195" spans="2:6" x14ac:dyDescent="0.2">
      <c r="B195" s="231">
        <f ca="1">IF(Altitude_culmi&gt;350, 37, NA())</f>
        <v>37</v>
      </c>
      <c r="C195" s="5">
        <v>17</v>
      </c>
      <c r="D195" s="82">
        <f t="shared" ca="1" si="2"/>
        <v>318.25810185743023</v>
      </c>
      <c r="E195" s="82"/>
      <c r="F195" s="214">
        <f t="shared" ca="1" si="3"/>
        <v>284.25810185743023</v>
      </c>
    </row>
    <row r="196" spans="2:6" x14ac:dyDescent="0.2">
      <c r="B196" s="231">
        <f ca="1">IF(Altitude_culmi&gt;350, 67, NA())</f>
        <v>67</v>
      </c>
      <c r="C196" s="5">
        <v>11</v>
      </c>
      <c r="D196" s="82">
        <f t="shared" ca="1" si="2"/>
        <v>312.25810185743023</v>
      </c>
      <c r="E196" s="82"/>
      <c r="F196" s="214">
        <f t="shared" ca="1" si="3"/>
        <v>290.25810185743023</v>
      </c>
    </row>
    <row r="197" spans="2:6" x14ac:dyDescent="0.2">
      <c r="B197" s="231">
        <f ca="1">IF(Altitude_culmi&gt;350, 67, NA())</f>
        <v>67</v>
      </c>
      <c r="C197" s="421">
        <v>0</v>
      </c>
      <c r="D197" s="230">
        <f t="shared" ca="1" si="2"/>
        <v>301.25810185743023</v>
      </c>
      <c r="E197" s="230"/>
      <c r="F197" s="216">
        <f t="shared" ca="1" si="3"/>
        <v>301.25810185743023</v>
      </c>
    </row>
    <row r="198" spans="2:6" x14ac:dyDescent="0.2">
      <c r="B198" s="231">
        <f ca="1">IF(Altitude_culmi&gt;350, 100, NA())</f>
        <v>100</v>
      </c>
    </row>
    <row r="199" spans="2:6" x14ac:dyDescent="0.2">
      <c r="B199" s="229">
        <f ca="1">IF(Altitude_culmi&gt;350, 100, NA())</f>
        <v>100</v>
      </c>
    </row>
  </sheetData>
  <sheetProtection password="C6AC" sheet="1"/>
  <protectedRanges>
    <protectedRange sqref="C25" name="Plage1"/>
  </protectedRanges>
  <mergeCells count="41">
    <mergeCell ref="F49:G49"/>
    <mergeCell ref="F40:G40"/>
    <mergeCell ref="F41:G41"/>
    <mergeCell ref="F42:G42"/>
    <mergeCell ref="F43:G43"/>
    <mergeCell ref="F48:G48"/>
    <mergeCell ref="F44:G44"/>
    <mergeCell ref="F45:G45"/>
    <mergeCell ref="F47:G47"/>
    <mergeCell ref="F46:G46"/>
    <mergeCell ref="C15:D15"/>
    <mergeCell ref="C10:D10"/>
    <mergeCell ref="C19:D19"/>
    <mergeCell ref="C20:D20"/>
    <mergeCell ref="C11:D11"/>
    <mergeCell ref="C13:D13"/>
    <mergeCell ref="C14:D14"/>
    <mergeCell ref="C18:D18"/>
    <mergeCell ref="C22:D22"/>
    <mergeCell ref="C17:D17"/>
    <mergeCell ref="F23:G23"/>
    <mergeCell ref="F27:G27"/>
    <mergeCell ref="F26:G26"/>
    <mergeCell ref="F24:G24"/>
    <mergeCell ref="F25:G25"/>
    <mergeCell ref="H33:I33"/>
    <mergeCell ref="H32:I32"/>
    <mergeCell ref="F28:G28"/>
    <mergeCell ref="H31:I31"/>
    <mergeCell ref="A38:D38"/>
    <mergeCell ref="H34:I34"/>
    <mergeCell ref="F34:G34"/>
    <mergeCell ref="F33:G33"/>
    <mergeCell ref="F32:G32"/>
    <mergeCell ref="F38:G38"/>
    <mergeCell ref="C2:D3"/>
    <mergeCell ref="C7:D7"/>
    <mergeCell ref="C8:D8"/>
    <mergeCell ref="C9:D9"/>
    <mergeCell ref="C6:D6"/>
    <mergeCell ref="C4:D4"/>
  </mergeCells>
  <phoneticPr fontId="8" type="noConversion"/>
  <conditionalFormatting sqref="B26">
    <cfRule type="expression" dxfId="26" priority="89" stopIfTrue="1">
      <formula>NOT(OR(C25=F108,C25=F102,Nb_sat="1 satellite"))</formula>
    </cfRule>
  </conditionalFormatting>
  <conditionalFormatting sqref="C26">
    <cfRule type="expression" dxfId="25" priority="91" stopIfTrue="1">
      <formula>NOT(OR(C25=F108,C25=F102))</formula>
    </cfRule>
  </conditionalFormatting>
  <conditionalFormatting sqref="C30">
    <cfRule type="cellIs" dxfId="24" priority="42" stopIfTrue="1" operator="notBetween">
      <formula>5</formula>
      <formula>15</formula>
    </cfRule>
  </conditionalFormatting>
  <conditionalFormatting sqref="D24">
    <cfRule type="expression" dxfId="23" priority="39" stopIfTrue="1">
      <formula>Nb_sat="0 satellite"</formula>
    </cfRule>
  </conditionalFormatting>
  <conditionalFormatting sqref="D25">
    <cfRule type="expression" dxfId="22" priority="2" stopIfTrue="1">
      <formula>Nb_sat="0 satellite"</formula>
    </cfRule>
  </conditionalFormatting>
  <conditionalFormatting sqref="D26:D29 D31:D33">
    <cfRule type="expression" dxfId="21" priority="59" stopIfTrue="1">
      <formula>Nb_sat="0 satellite"</formula>
    </cfRule>
  </conditionalFormatting>
  <conditionalFormatting sqref="D30">
    <cfRule type="expression" dxfId="20" priority="40" stopIfTrue="1">
      <formula>Nb_sat="0 satellite"</formula>
    </cfRule>
    <cfRule type="cellIs" dxfId="19" priority="49" stopIfTrue="1" operator="notBetween">
      <formula>5</formula>
      <formula>15</formula>
    </cfRule>
  </conditionalFormatting>
  <conditionalFormatting sqref="F25">
    <cfRule type="expression" dxfId="18" priority="26" stopIfTrue="1">
      <formula>Nb_sat="0 satellite"</formula>
    </cfRule>
  </conditionalFormatting>
  <conditionalFormatting sqref="F34:I34 F48:M48">
    <cfRule type="expression" dxfId="17" priority="22" stopIfTrue="1">
      <formula>Nb_sat="0 satellite"</formula>
    </cfRule>
  </conditionalFormatting>
  <conditionalFormatting sqref="F49:M49">
    <cfRule type="expression" dxfId="16" priority="21" stopIfTrue="1">
      <formula>Nb_sat="0 satellite"</formula>
    </cfRule>
  </conditionalFormatting>
  <conditionalFormatting sqref="H27 H46">
    <cfRule type="expression" dxfId="15" priority="4" stopIfTrue="1">
      <formula>ABS(Temps_culmi-T_para)&gt;2</formula>
    </cfRule>
  </conditionalFormatting>
  <conditionalFormatting sqref="H32:I32">
    <cfRule type="cellIs" dxfId="14" priority="14" stopIfTrue="1" operator="equal">
      <formula>"Brun/Orange…"</formula>
    </cfRule>
  </conditionalFormatting>
  <conditionalFormatting sqref="H33:I33">
    <cfRule type="cellIs" dxfId="13" priority="13" stopIfTrue="1" operator="equal">
      <formula>"Rouge…"</formula>
    </cfRule>
  </conditionalFormatting>
  <conditionalFormatting sqref="H25:M25">
    <cfRule type="expression" dxfId="12" priority="41" stopIfTrue="1">
      <formula>Nb_sat="0 satellite"</formula>
    </cfRule>
  </conditionalFormatting>
  <conditionalFormatting sqref="J28 J45">
    <cfRule type="expression" dxfId="11" priority="6" stopIfTrue="1">
      <formula>AND(Portee_balistique&gt;200,LEFT(Type_propu,4)="Mini")</formula>
    </cfRule>
  </conditionalFormatting>
  <conditionalFormatting sqref="K23 K41">
    <cfRule type="expression" dxfId="10" priority="44" stopIfTrue="1">
      <formula>AND(Vsortie_de_rampe&lt;18, OR(LEFT(Type_fusee,1)=",",LEFT(Type_fusee,4)="Mini",LEFT(Type_fusee,1)="R"))</formula>
    </cfRule>
    <cfRule type="expression" dxfId="9" priority="45" stopIfTrue="1">
      <formula>AND(Vsortie_de_rampe&lt;20, RIGHT(Type_fusee,1)=".")</formula>
    </cfRule>
  </conditionalFormatting>
  <conditionalFormatting sqref="K40">
    <cfRule type="expression" dxfId="8" priority="34" stopIfTrue="1">
      <formula>AND( $K$21=0, OR( $I$21&gt;0, $J$21&gt;0 ) )</formula>
    </cfRule>
  </conditionalFormatting>
  <conditionalFormatting sqref="N33">
    <cfRule type="expression" dxfId="7" priority="15" stopIfTrue="1">
      <formula>ROUND(SUM(C23:L34),0)=1914</formula>
    </cfRule>
  </conditionalFormatting>
  <conditionalFormatting sqref="N34">
    <cfRule type="expression" dxfId="6" priority="16" stopIfTrue="1">
      <formula>$N$34="propu NOK"</formula>
    </cfRule>
  </conditionalFormatting>
  <dataValidations count="14">
    <dataValidation type="decimal" operator="greaterThanOrEqual" showErrorMessage="1" sqref="H40:K40 C29 C26 D26:D27" xr:uid="{00000000-0002-0000-0100-000000000000}">
      <formula1>0</formula1>
    </dataValidation>
    <dataValidation type="list" allowBlank="1" showInputMessage="1" showErrorMessage="1" sqref="H50" xr:uid="{00000000-0002-0000-0100-000001000000}">
      <formula1>gao</formula1>
    </dataValidation>
    <dataValidation operator="greaterThanOrEqual" showErrorMessage="1" sqref="D29 C27" xr:uid="{00000000-0002-0000-0100-000002000000}"/>
    <dataValidation type="decimal" errorStyle="warning" allowBlank="1" showErrorMessage="1" errorTitle="Cx para" error="Le Cx du parachute est souvent compris entre 0 et 2._x000a_Cx of parachute might be between 0 a 2." sqref="C28:D28" xr:uid="{00000000-0002-0000-0100-000003000000}">
      <formula1>0</formula1>
      <formula2>2</formula2>
    </dataValidation>
    <dataValidation sqref="C11:D11" xr:uid="{00000000-0002-0000-0100-000004000000}"/>
    <dataValidation operator="greaterThanOrEqual" sqref="C10:D10" xr:uid="{00000000-0002-0000-0100-000005000000}"/>
    <dataValidation type="decimal" errorStyle="warning" showErrorMessage="1" errorTitle="Cx" error="Le Cx est souvent compris entre 0,3 et 0,7._x000a_Cx may be between 0,3 &amp; 0,7." sqref="C15:D15" xr:uid="{00000000-0002-0000-0100-000006000000}">
      <formula1>0.3</formula1>
      <formula2>0.7</formula2>
    </dataValidation>
    <dataValidation type="decimal" operator="greaterThanOrEqual" allowBlank="1" showErrorMessage="1" sqref="C18:D18" xr:uid="{00000000-0002-0000-0100-000007000000}">
      <formula1>0</formula1>
    </dataValidation>
    <dataValidation type="decimal" errorStyle="information" allowBlank="1" showInputMessage="1" showErrorMessage="1" errorTitle="Angle de la rampe" error="Il est conseillé d'incliner à rampe entre 75° et 85° par rapport à l'horizontale._x000a_This Angle is recommended between 75° &amp; 85°." sqref="C19:D19" xr:uid="{00000000-0002-0000-0100-000008000000}">
      <formula1>75</formula1>
      <formula2>85</formula2>
    </dataValidation>
    <dataValidation type="whole" operator="greaterThanOrEqual" allowBlank="1" showErrorMessage="1" sqref="C20:D20" xr:uid="{00000000-0002-0000-0100-000009000000}">
      <formula1>0</formula1>
    </dataValidation>
    <dataValidation type="whole" allowBlank="1" showErrorMessage="1" sqref="M40" xr:uid="{00000000-0002-0000-0100-00000A000000}">
      <formula1>-360</formula1>
      <formula2>360</formula2>
    </dataValidation>
    <dataValidation type="list" showInputMessage="1" showErrorMessage="1" sqref="D23" xr:uid="{00000000-0002-0000-0100-00000B000000}">
      <formula1>Menu_sat</formula1>
    </dataValidation>
    <dataValidation type="whole" operator="greaterThanOrEqual" showErrorMessage="1" sqref="B43 B45 B51 B53" xr:uid="{00000000-0002-0000-0100-00000C000000}">
      <formula1>0</formula1>
    </dataValidation>
    <dataValidation type="list" showInputMessage="1" showErrorMessage="1" sqref="C25" xr:uid="{00000000-0002-0000-0100-00000D000000}">
      <formula1>IF(Depotage&lt;&gt;0,IF(LEFT(Type_propu,5)="Micro",$F$108,$F$103:$F$108),$F$102)</formula1>
    </dataValidation>
  </dataValidations>
  <hyperlinks>
    <hyperlink ref="B11" location="Stabilito!C17" display="Stabilito!C17" xr:uid="{00000000-0004-0000-0100-000000000000}"/>
  </hyperlinks>
  <printOptions horizontalCentered="1" verticalCentered="1"/>
  <pageMargins left="7.874015748031496E-2" right="7.874015748031496E-2" top="7.874015748031496E-2" bottom="7.874015748031496E-2" header="0" footer="0"/>
  <pageSetup paperSize="9" firstPageNumber="0" orientation="landscape" horizontalDpi="300" verticalDpi="300" r:id="rId1"/>
  <headerFooter alignWithMargins="0"/>
  <ignoredErrors>
    <ignoredError sqref="B126:B132 B138:B149 C149 C151 C136:C138 C140:C147 C124:C130" formula="1"/>
    <ignoredError sqref="H44:I44 H47 J44:M44" evalError="1"/>
    <ignoredError sqref="G103:G107" numberStoredAsText="1"/>
    <ignoredError sqref="D24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4424" r:id="rId4" name="Spinner 1064">
              <controlPr defaultSize="0" print="0" autoPict="0">
                <anchor moveWithCells="1" sizeWithCells="1">
                  <from>
                    <xdr:col>3</xdr:col>
                    <xdr:colOff>638175</xdr:colOff>
                    <xdr:row>9</xdr:row>
                    <xdr:rowOff>9525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89" r:id="rId5" name="Spinner 1229">
              <controlPr defaultSize="0" print="0" autoPict="0">
                <anchor moveWithCells="1" sizeWithCells="1">
                  <from>
                    <xdr:col>1</xdr:col>
                    <xdr:colOff>981075</xdr:colOff>
                    <xdr:row>42</xdr:row>
                    <xdr:rowOff>9525</xdr:rowOff>
                  </from>
                  <to>
                    <xdr:col>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0" r:id="rId6" name="Spinner 1230">
              <controlPr defaultSize="0" print="0" autoPict="0">
                <anchor moveWithCells="1" sizeWithCells="1">
                  <from>
                    <xdr:col>1</xdr:col>
                    <xdr:colOff>981075</xdr:colOff>
                    <xdr:row>44</xdr:row>
                    <xdr:rowOff>9525</xdr:rowOff>
                  </from>
                  <to>
                    <xdr:col>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1" r:id="rId7" name="Spinner 1231">
              <controlPr defaultSize="0" print="0" autoPict="0">
                <anchor moveWithCells="1" sizeWithCells="1">
                  <from>
                    <xdr:col>1</xdr:col>
                    <xdr:colOff>981075</xdr:colOff>
                    <xdr:row>50</xdr:row>
                    <xdr:rowOff>9525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462" r:id="rId8" name="Spinner 4550">
              <controlPr defaultSize="0" print="0" autoPict="0">
                <anchor moveWithCells="1" sizeWithCells="1">
                  <from>
                    <xdr:col>1</xdr:col>
                    <xdr:colOff>981075</xdr:colOff>
                    <xdr:row>52</xdr:row>
                    <xdr:rowOff>9525</xdr:rowOff>
                  </from>
                  <to>
                    <xdr:col>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pageSetUpPr fitToPage="1"/>
  </sheetPr>
  <dimension ref="B75:B146"/>
  <sheetViews>
    <sheetView showGridLines="0" zoomScaleNormal="100" workbookViewId="0">
      <selection activeCell="M67" sqref="M67"/>
    </sheetView>
  </sheetViews>
  <sheetFormatPr baseColWidth="10" defaultRowHeight="12.75" x14ac:dyDescent="0.2"/>
  <sheetData>
    <row r="75" spans="2:2" x14ac:dyDescent="0.2">
      <c r="B75" t="s">
        <v>44</v>
      </c>
    </row>
    <row r="76" spans="2:2" x14ac:dyDescent="0.2">
      <c r="B76" t="str">
        <f>IF(Lang="Français","Ces courbes représentent la trajectoire de la fusée dans l'hypothèse d'une descente balistique (sans ouverture du parachute). ","These curves show the rocket trajectory in case of ballistic fall (without parachute).")</f>
        <v xml:space="preserve">Ces courbes représentent la trajectoire de la fusée dans l'hypothèse d'une descente balistique (sans ouverture du parachute). </v>
      </c>
    </row>
    <row r="77" spans="2:2" x14ac:dyDescent="0.2">
      <c r="B77" t="str">
        <f>IF(Lang="Français","L'accélération longitudinale gravitationnelle définit le mouvement (dérivée de la vitesse) : Acc = (Poussee - Traînée ± Poids) / m",IF(Lang="English","Longitudinal Gravitaionnal Acceleration defines the motion (velocity derivative) : Acc = (Thrust - Drag ± Weight)/m",""))</f>
        <v>L'accélération longitudinale gravitationnelle définit le mouvement (dérivée de la vitesse) : Acc = (Poussee - Traînée ± Poids) / m</v>
      </c>
    </row>
    <row r="78" spans="2:2" x14ac:dyDescent="0.2">
      <c r="B78" t="str">
        <f>IF(Lang="Français","La charge ''non-gravitationnelle'' vue par un capteur d'accélération (masse-ressort) est : Charge = (Poussée - Traînée) / m",IF(Lang="English","''Non-Gravitaionnal'' Load seen by an acceleration sensor (mass-spring) is : Load = (Thrust - Drag) / m",""))</f>
        <v>La charge ''non-gravitationnelle'' vue par un capteur d'accélération (masse-ressort) est : Charge = (Poussée - Traînée) / m</v>
      </c>
    </row>
    <row r="79" spans="2:2" x14ac:dyDescent="0.2">
      <c r="B79" t="str">
        <f>IF(Lang="Français","Exemples : Si Poussée = Poids, Vitesse constante, Acc nulle, Charge = 1G ; En chute libre, Acc = -1G, Charge = 0",IF(Lang="English","",""))</f>
        <v>Exemples : Si Poussée = Poids, Vitesse constante, Acc nulle, Charge = 1G ; En chute libre, Acc = -1G, Charge = 0</v>
      </c>
    </row>
    <row r="131" spans="2:2" x14ac:dyDescent="0.2">
      <c r="B131" s="24" t="str">
        <f>IF(Lang="Français","Textes pour les graphiques :","Texts for graphics :")</f>
        <v>Textes pour les graphiques :</v>
      </c>
    </row>
    <row r="133" spans="2:2" x14ac:dyDescent="0.2">
      <c r="B133" t="str">
        <f>IF(Lang="Français","Traînée",IF(Lang="English","Drag",""))</f>
        <v>Traînée</v>
      </c>
    </row>
    <row r="134" spans="2:2" x14ac:dyDescent="0.2">
      <c r="B134" t="str">
        <f>IF(Lang="Français","Poussée",IF(Lang="English","Thrust",""))</f>
        <v>Poussée</v>
      </c>
    </row>
    <row r="135" spans="2:2" x14ac:dyDescent="0.2">
      <c r="B135" t="str">
        <f>IF(Lang="Français","Poids",IF(Lang="English","Weight",""))</f>
        <v>Poids</v>
      </c>
    </row>
    <row r="137" spans="2:2" x14ac:dyDescent="0.2">
      <c r="B137" t="str">
        <f>IF(Lang="Français","Accélération longitudinale",IF(Lang="English","Longitudinal Acceleration",""))</f>
        <v>Accélération longitudinale</v>
      </c>
    </row>
    <row r="138" spans="2:2" x14ac:dyDescent="0.2">
      <c r="B138" t="str">
        <f>IF(Lang="Français","Charge vue par un capteur",IF(Lang="English","Load seen by a sensor",""))</f>
        <v>Charge vue par un capteur</v>
      </c>
    </row>
    <row r="140" spans="2:2" x14ac:dyDescent="0.2">
      <c r="B140" t="str">
        <f>IF(Lang="Français","Vitesse",IF(Lang="English","Velocity",""))</f>
        <v>Vitesse</v>
      </c>
    </row>
    <row r="141" spans="2:2" x14ac:dyDescent="0.2">
      <c r="B141" t="str">
        <f>IF(Lang="Français","Vitesse [m/s]",IF(Lang="English","Velocity [m/s]",""))</f>
        <v>Vitesse [m/s]</v>
      </c>
    </row>
    <row r="143" spans="2:2" x14ac:dyDescent="0.2">
      <c r="B143" t="s">
        <v>6</v>
      </c>
    </row>
    <row r="144" spans="2:2" x14ac:dyDescent="0.2">
      <c r="B144" t="str">
        <f>IF(Lang="Français","Portée",IF(Lang="English","Range",""))</f>
        <v>Portée</v>
      </c>
    </row>
    <row r="146" spans="2:2" x14ac:dyDescent="0.2">
      <c r="B146" t="str">
        <f>IF(Lang="Français","Temps [s]",IF(Lang="English","Time [s]",""))</f>
        <v>Temps [s]</v>
      </c>
    </row>
  </sheetData>
  <sheetProtection password="C6AC" sheet="1"/>
  <phoneticPr fontId="8" type="noConversion"/>
  <printOptions horizontalCentered="1" verticalCentered="1"/>
  <pageMargins left="0.39370078740157483" right="0.39370078740157483" top="0.39370078740157483" bottom="0.39370078740157483" header="0" footer="0"/>
  <pageSetup scale="76" firstPageNumber="0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>
    <pageSetUpPr fitToPage="1"/>
  </sheetPr>
  <dimension ref="A1:Z346"/>
  <sheetViews>
    <sheetView showGridLines="0" zoomScale="80" zoomScaleNormal="80" workbookViewId="0">
      <selection activeCell="K6" sqref="K6"/>
    </sheetView>
  </sheetViews>
  <sheetFormatPr baseColWidth="10" defaultRowHeight="12.75" x14ac:dyDescent="0.2"/>
  <cols>
    <col min="1" max="1" width="22.42578125" bestFit="1" customWidth="1"/>
  </cols>
  <sheetData>
    <row r="1" spans="1:26" ht="13.5" thickBot="1" x14ac:dyDescent="0.25">
      <c r="A1" s="362" t="str">
        <f>IF(Lang="Français","Moteur sélectionné","Selected motor")</f>
        <v>Moteur sélectionné</v>
      </c>
      <c r="B1" s="362" t="s">
        <v>32</v>
      </c>
    </row>
    <row r="2" spans="1:26" ht="13.5" thickBot="1" x14ac:dyDescent="0.25">
      <c r="A2" s="352" t="str">
        <f>Propu</f>
        <v>Barasinga (Pro54-5G C)</v>
      </c>
      <c r="B2" s="352">
        <f>VLOOKUP(A2,A26:B314,2,FALSE)</f>
        <v>279</v>
      </c>
      <c r="C2" s="363" t="s">
        <v>116</v>
      </c>
      <c r="D2" s="353">
        <f ca="1">INDIRECT(ADDRESS(B2,4))</f>
        <v>2058.37</v>
      </c>
      <c r="E2" s="363" t="s">
        <v>115</v>
      </c>
      <c r="F2" s="354">
        <f ca="1">INDIRECT(ADDRESS(B2,6))</f>
        <v>203.12066731598335</v>
      </c>
      <c r="G2" s="363" t="s">
        <v>57</v>
      </c>
      <c r="H2" s="355">
        <f ca="1">INDIRECT(ADDRESS(B2,8))</f>
        <v>1.6850000000000001</v>
      </c>
      <c r="I2" s="363" t="s">
        <v>272</v>
      </c>
      <c r="J2" s="356">
        <f ca="1">INDIRECT(ADDRESS(B2,10))</f>
        <v>1.0329999999999999</v>
      </c>
      <c r="K2" s="363" t="s">
        <v>59</v>
      </c>
      <c r="L2" s="355">
        <f ca="1">INDIRECT(ADDRESS(B2,12))</f>
        <v>0.65200000000000002</v>
      </c>
      <c r="M2" s="363" t="s">
        <v>58</v>
      </c>
      <c r="N2" s="357">
        <f ca="1">INDIRECT(ADDRESS(B2,14))</f>
        <v>250</v>
      </c>
      <c r="O2" s="363" t="s">
        <v>60</v>
      </c>
      <c r="P2" s="357">
        <f ca="1">INDIRECT(ADDRESS(B2,16))</f>
        <v>240</v>
      </c>
      <c r="Q2" s="363" t="s">
        <v>61</v>
      </c>
      <c r="R2" s="357">
        <f ca="1">INDIRECT(ADDRESS(B2,18))</f>
        <v>488</v>
      </c>
      <c r="S2" s="363" t="s">
        <v>62</v>
      </c>
      <c r="T2" s="357">
        <f ca="1">INDIRECT(ADDRESS(B2,20))</f>
        <v>54</v>
      </c>
      <c r="U2" s="363" t="s">
        <v>55</v>
      </c>
      <c r="V2" s="358" t="str">
        <f ca="1">INDIRECT(ADDRESS(B2,22))</f>
        <v>Fusex</v>
      </c>
      <c r="W2" s="463" t="s">
        <v>394</v>
      </c>
      <c r="X2" s="464">
        <f ca="1">INDIRECT(ADDRESS(B2,24))</f>
        <v>0</v>
      </c>
      <c r="Y2" s="463" t="s">
        <v>393</v>
      </c>
      <c r="Z2" s="358">
        <f ca="1">INDIRECT(ADDRESS(B2,26))</f>
        <v>0</v>
      </c>
    </row>
    <row r="3" spans="1:26" x14ac:dyDescent="0.2">
      <c r="A3" s="362" t="str">
        <f>IF(Lang="Français","Temps (en s)","Time (s)")</f>
        <v>Temps (en s)</v>
      </c>
      <c r="B3" s="364">
        <f t="shared" ref="B3:Y3" ca="1" si="0">INDIRECT(ADDRESS($B2+1,COLUMN(B3)))</f>
        <v>0</v>
      </c>
      <c r="C3" s="365">
        <f t="shared" ca="1" si="0"/>
        <v>0.05</v>
      </c>
      <c r="D3" s="365">
        <f t="shared" ca="1" si="0"/>
        <v>0.5</v>
      </c>
      <c r="E3" s="365">
        <f t="shared" ca="1" si="0"/>
        <v>1</v>
      </c>
      <c r="F3" s="365">
        <f t="shared" ca="1" si="0"/>
        <v>1.5</v>
      </c>
      <c r="G3" s="365">
        <f t="shared" ca="1" si="0"/>
        <v>2</v>
      </c>
      <c r="H3" s="365">
        <f t="shared" ca="1" si="0"/>
        <v>2.5</v>
      </c>
      <c r="I3" s="365">
        <f t="shared" ca="1" si="0"/>
        <v>2.97</v>
      </c>
      <c r="J3" s="365">
        <f t="shared" ca="1" si="0"/>
        <v>3.2</v>
      </c>
      <c r="K3" s="365">
        <f t="shared" ca="1" si="0"/>
        <v>3.47</v>
      </c>
      <c r="L3" s="365">
        <f t="shared" ca="1" si="0"/>
        <v>3.59</v>
      </c>
      <c r="M3" s="365">
        <f t="shared" ca="1" si="0"/>
        <v>3.59</v>
      </c>
      <c r="N3" s="365">
        <f t="shared" ca="1" si="0"/>
        <v>3.59</v>
      </c>
      <c r="O3" s="365">
        <f t="shared" ca="1" si="0"/>
        <v>3.59</v>
      </c>
      <c r="P3" s="365">
        <f t="shared" ca="1" si="0"/>
        <v>3.59</v>
      </c>
      <c r="Q3" s="365">
        <f t="shared" ca="1" si="0"/>
        <v>3.59</v>
      </c>
      <c r="R3" s="365">
        <f t="shared" ca="1" si="0"/>
        <v>3.59</v>
      </c>
      <c r="S3" s="365">
        <f t="shared" ca="1" si="0"/>
        <v>3.59</v>
      </c>
      <c r="T3" s="365">
        <f t="shared" ca="1" si="0"/>
        <v>3.59</v>
      </c>
      <c r="U3" s="365">
        <f t="shared" ca="1" si="0"/>
        <v>3.59</v>
      </c>
      <c r="V3" s="365">
        <f t="shared" ca="1" si="0"/>
        <v>3.59</v>
      </c>
      <c r="W3" s="365">
        <f t="shared" ca="1" si="0"/>
        <v>3.59</v>
      </c>
      <c r="X3" s="365">
        <f ca="1">INDIRECT(ADDRESS($B2+1,COLUMN(X3)))</f>
        <v>3.59</v>
      </c>
      <c r="Y3" s="366">
        <f t="shared" ca="1" si="0"/>
        <v>1000</v>
      </c>
    </row>
    <row r="4" spans="1:26" ht="13.5" thickBot="1" x14ac:dyDescent="0.25">
      <c r="A4" s="379" t="str">
        <f>IF(Lang="Français","Poussée (en N)","Thrust (N)")</f>
        <v>Poussée (en N)</v>
      </c>
      <c r="B4" s="367">
        <f t="shared" ref="B4:Y4" ca="1" si="1">INDIRECT(ADDRESS($B2+2,COLUMN(B3)))</f>
        <v>0</v>
      </c>
      <c r="C4" s="368">
        <f t="shared" ca="1" si="1"/>
        <v>893</v>
      </c>
      <c r="D4" s="368">
        <f t="shared" ca="1" si="1"/>
        <v>798</v>
      </c>
      <c r="E4" s="368">
        <f t="shared" ca="1" si="1"/>
        <v>739</v>
      </c>
      <c r="F4" s="368">
        <f t="shared" ca="1" si="1"/>
        <v>659</v>
      </c>
      <c r="G4" s="368">
        <f t="shared" ca="1" si="1"/>
        <v>586</v>
      </c>
      <c r="H4" s="368">
        <f t="shared" ca="1" si="1"/>
        <v>513</v>
      </c>
      <c r="I4" s="368">
        <f t="shared" ca="1" si="1"/>
        <v>417</v>
      </c>
      <c r="J4" s="368">
        <f t="shared" ca="1" si="1"/>
        <v>225</v>
      </c>
      <c r="K4" s="368">
        <f t="shared" ca="1" si="1"/>
        <v>67</v>
      </c>
      <c r="L4" s="368">
        <f t="shared" ca="1" si="1"/>
        <v>0</v>
      </c>
      <c r="M4" s="368">
        <f t="shared" ca="1" si="1"/>
        <v>0</v>
      </c>
      <c r="N4" s="368">
        <f t="shared" ca="1" si="1"/>
        <v>0</v>
      </c>
      <c r="O4" s="368">
        <f t="shared" ca="1" si="1"/>
        <v>0</v>
      </c>
      <c r="P4" s="368">
        <f t="shared" ca="1" si="1"/>
        <v>0</v>
      </c>
      <c r="Q4" s="368">
        <f t="shared" ca="1" si="1"/>
        <v>0</v>
      </c>
      <c r="R4" s="368">
        <f t="shared" ca="1" si="1"/>
        <v>0</v>
      </c>
      <c r="S4" s="368">
        <f t="shared" ca="1" si="1"/>
        <v>0</v>
      </c>
      <c r="T4" s="368">
        <f t="shared" ca="1" si="1"/>
        <v>0</v>
      </c>
      <c r="U4" s="368">
        <f t="shared" ca="1" si="1"/>
        <v>0</v>
      </c>
      <c r="V4" s="368">
        <f t="shared" ca="1" si="1"/>
        <v>0</v>
      </c>
      <c r="W4" s="368">
        <f t="shared" ca="1" si="1"/>
        <v>0</v>
      </c>
      <c r="X4" s="368">
        <f ca="1">INDIRECT(ADDRESS($B2+2,COLUMN(X3)))</f>
        <v>0</v>
      </c>
      <c r="Y4" s="369">
        <f t="shared" ca="1" si="1"/>
        <v>0</v>
      </c>
    </row>
    <row r="5" spans="1:26" x14ac:dyDescent="0.2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spans="1:26" x14ac:dyDescent="0.2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spans="1:26" x14ac:dyDescent="0.2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1:26" x14ac:dyDescent="0.2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1:26" x14ac:dyDescent="0.2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</row>
    <row r="10" spans="1:26" x14ac:dyDescent="0.2">
      <c r="B10" s="12"/>
      <c r="C10" s="12"/>
      <c r="D10" s="12"/>
      <c r="E10" s="12"/>
      <c r="F10" s="12"/>
      <c r="G10" s="12"/>
      <c r="H10" s="12"/>
      <c r="I10" s="12"/>
      <c r="J10" s="12"/>
    </row>
    <row r="11" spans="1:26" x14ac:dyDescent="0.2">
      <c r="B11" s="12"/>
      <c r="C11" s="12"/>
      <c r="D11" s="12"/>
      <c r="E11" s="12"/>
      <c r="F11" s="12"/>
      <c r="G11" s="12"/>
      <c r="H11" s="12"/>
      <c r="I11" s="12"/>
      <c r="J11" s="12"/>
    </row>
    <row r="12" spans="1:26" x14ac:dyDescent="0.2">
      <c r="B12" s="12"/>
      <c r="C12" s="12"/>
      <c r="D12" s="12"/>
      <c r="E12" s="12"/>
      <c r="F12" s="12"/>
      <c r="G12" s="12"/>
      <c r="H12" s="12"/>
      <c r="I12" s="12"/>
      <c r="J12" s="12"/>
    </row>
    <row r="13" spans="1:26" x14ac:dyDescent="0.2">
      <c r="B13" s="12"/>
      <c r="C13" s="12"/>
      <c r="D13" s="12"/>
      <c r="E13" s="12"/>
      <c r="F13" s="12"/>
      <c r="G13" s="12"/>
      <c r="H13" s="12"/>
      <c r="I13" s="12"/>
      <c r="J13" s="12"/>
    </row>
    <row r="14" spans="1:26" x14ac:dyDescent="0.2">
      <c r="B14" s="12"/>
      <c r="C14" s="12"/>
      <c r="D14" s="12"/>
      <c r="E14" s="12"/>
      <c r="F14" s="12"/>
      <c r="G14" s="12"/>
      <c r="H14" s="12"/>
      <c r="I14" s="12"/>
      <c r="J14" s="12"/>
    </row>
    <row r="15" spans="1:26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</row>
    <row r="16" spans="1:26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</row>
    <row r="17" spans="1:25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</row>
    <row r="18" spans="1:25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</row>
    <row r="19" spans="1:25" x14ac:dyDescent="0.2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</row>
    <row r="20" spans="1:25" x14ac:dyDescent="0.2"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</row>
    <row r="21" spans="1:25" x14ac:dyDescent="0.2"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</row>
    <row r="22" spans="1:25" x14ac:dyDescent="0.2"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</row>
    <row r="23" spans="1:25" x14ac:dyDescent="0.2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</row>
    <row r="25" spans="1:25" ht="13.5" thickBot="1" x14ac:dyDescent="0.25">
      <c r="A25" s="6" t="s">
        <v>275</v>
      </c>
    </row>
    <row r="26" spans="1:25" ht="13.5" thickBot="1" x14ac:dyDescent="0.25">
      <c r="A26" s="361" t="s">
        <v>308</v>
      </c>
      <c r="B26" s="359">
        <f>ROW(A26)</f>
        <v>26</v>
      </c>
      <c r="C26" s="363" t="s">
        <v>116</v>
      </c>
      <c r="D26" s="353">
        <f>SUM(B29:Y29)</f>
        <v>9.8449999999999989</v>
      </c>
      <c r="E26" s="363" t="s">
        <v>115</v>
      </c>
      <c r="F26" s="399">
        <f>D26/g/J26</f>
        <v>3.3452259599048584</v>
      </c>
      <c r="G26" s="363" t="s">
        <v>57</v>
      </c>
      <c r="H26" s="64">
        <v>0.3</v>
      </c>
      <c r="I26" s="363" t="s">
        <v>270</v>
      </c>
      <c r="J26" s="355">
        <f>H26-L26</f>
        <v>0.3</v>
      </c>
      <c r="K26" s="363" t="s">
        <v>271</v>
      </c>
      <c r="L26" s="64">
        <v>0</v>
      </c>
      <c r="M26" s="363" t="s">
        <v>58</v>
      </c>
      <c r="N26" s="65">
        <f>0.2*R26</f>
        <v>60</v>
      </c>
      <c r="O26" s="363" t="s">
        <v>60</v>
      </c>
      <c r="P26" s="65">
        <v>150</v>
      </c>
      <c r="Q26" s="363" t="s">
        <v>61</v>
      </c>
      <c r="R26" s="65">
        <v>300</v>
      </c>
      <c r="S26" s="363" t="s">
        <v>62</v>
      </c>
      <c r="T26" s="65">
        <v>90</v>
      </c>
      <c r="U26" s="363" t="s">
        <v>55</v>
      </c>
      <c r="V26" s="66" t="s">
        <v>275</v>
      </c>
      <c r="W26" s="12"/>
      <c r="X26" s="12"/>
      <c r="Y26" s="12"/>
    </row>
    <row r="27" spans="1:25" x14ac:dyDescent="0.2">
      <c r="A27" s="362" t="s">
        <v>33</v>
      </c>
      <c r="B27" s="370">
        <v>0</v>
      </c>
      <c r="C27" s="371">
        <v>1E-3</v>
      </c>
      <c r="D27" s="371">
        <v>0.02</v>
      </c>
      <c r="E27" s="371">
        <v>3.7999999999999999E-2</v>
      </c>
      <c r="F27" s="371">
        <v>0.04</v>
      </c>
      <c r="G27" s="371">
        <v>0.04</v>
      </c>
      <c r="H27" s="371">
        <v>0.04</v>
      </c>
      <c r="I27" s="371">
        <v>0.04</v>
      </c>
      <c r="J27" s="371">
        <v>0.04</v>
      </c>
      <c r="K27" s="371">
        <v>0.04</v>
      </c>
      <c r="L27" s="371">
        <v>0.04</v>
      </c>
      <c r="M27" s="371">
        <v>0.04</v>
      </c>
      <c r="N27" s="371">
        <v>0.04</v>
      </c>
      <c r="O27" s="371">
        <v>0.04</v>
      </c>
      <c r="P27" s="371">
        <v>0.04</v>
      </c>
      <c r="Q27" s="371">
        <v>0.04</v>
      </c>
      <c r="R27" s="371">
        <v>0.04</v>
      </c>
      <c r="S27" s="371">
        <v>0.04</v>
      </c>
      <c r="T27" s="371">
        <v>0.04</v>
      </c>
      <c r="U27" s="371">
        <v>0.04</v>
      </c>
      <c r="V27" s="371">
        <v>0.04</v>
      </c>
      <c r="W27" s="371">
        <v>0.04</v>
      </c>
      <c r="X27" s="371">
        <v>0.04</v>
      </c>
      <c r="Y27" s="381">
        <v>1000</v>
      </c>
    </row>
    <row r="28" spans="1:25" x14ac:dyDescent="0.2">
      <c r="A28" s="378" t="s">
        <v>34</v>
      </c>
      <c r="B28" s="372">
        <v>0</v>
      </c>
      <c r="C28" s="373">
        <v>310</v>
      </c>
      <c r="D28" s="373">
        <v>250</v>
      </c>
      <c r="E28" s="373">
        <v>212</v>
      </c>
      <c r="F28" s="373">
        <v>0</v>
      </c>
      <c r="G28" s="373">
        <v>0</v>
      </c>
      <c r="H28" s="373">
        <v>0</v>
      </c>
      <c r="I28" s="373">
        <v>0</v>
      </c>
      <c r="J28" s="373">
        <v>0</v>
      </c>
      <c r="K28" s="373">
        <v>0</v>
      </c>
      <c r="L28" s="373">
        <v>0</v>
      </c>
      <c r="M28" s="373">
        <v>0</v>
      </c>
      <c r="N28" s="373">
        <v>0</v>
      </c>
      <c r="O28" s="373">
        <v>0</v>
      </c>
      <c r="P28" s="373">
        <v>0</v>
      </c>
      <c r="Q28" s="373">
        <v>0</v>
      </c>
      <c r="R28" s="373">
        <v>0</v>
      </c>
      <c r="S28" s="373">
        <v>0</v>
      </c>
      <c r="T28" s="373">
        <v>0</v>
      </c>
      <c r="U28" s="373">
        <v>0</v>
      </c>
      <c r="V28" s="373">
        <v>0</v>
      </c>
      <c r="W28" s="373">
        <v>0</v>
      </c>
      <c r="X28" s="373">
        <v>0</v>
      </c>
      <c r="Y28" s="382">
        <v>0</v>
      </c>
    </row>
    <row r="29" spans="1:25" ht="13.5" thickBot="1" x14ac:dyDescent="0.25">
      <c r="A29" s="379" t="s">
        <v>117</v>
      </c>
      <c r="B29" s="374">
        <f t="shared" ref="B29:X29" si="2">(C28+B28)*(C27-B27)/2</f>
        <v>0.155</v>
      </c>
      <c r="C29" s="375">
        <f t="shared" si="2"/>
        <v>5.32</v>
      </c>
      <c r="D29" s="375">
        <f t="shared" si="2"/>
        <v>4.1579999999999995</v>
      </c>
      <c r="E29" s="375">
        <f t="shared" si="2"/>
        <v>0.21200000000000019</v>
      </c>
      <c r="F29" s="375">
        <f t="shared" si="2"/>
        <v>0</v>
      </c>
      <c r="G29" s="375">
        <f t="shared" si="2"/>
        <v>0</v>
      </c>
      <c r="H29" s="375">
        <f t="shared" si="2"/>
        <v>0</v>
      </c>
      <c r="I29" s="375">
        <f t="shared" si="2"/>
        <v>0</v>
      </c>
      <c r="J29" s="375">
        <f t="shared" si="2"/>
        <v>0</v>
      </c>
      <c r="K29" s="375">
        <f t="shared" si="2"/>
        <v>0</v>
      </c>
      <c r="L29" s="375">
        <f t="shared" si="2"/>
        <v>0</v>
      </c>
      <c r="M29" s="375">
        <f t="shared" si="2"/>
        <v>0</v>
      </c>
      <c r="N29" s="375">
        <f t="shared" si="2"/>
        <v>0</v>
      </c>
      <c r="O29" s="375">
        <f t="shared" si="2"/>
        <v>0</v>
      </c>
      <c r="P29" s="375">
        <f t="shared" si="2"/>
        <v>0</v>
      </c>
      <c r="Q29" s="375">
        <f t="shared" si="2"/>
        <v>0</v>
      </c>
      <c r="R29" s="375">
        <f t="shared" si="2"/>
        <v>0</v>
      </c>
      <c r="S29" s="375">
        <f t="shared" si="2"/>
        <v>0</v>
      </c>
      <c r="T29" s="375">
        <f t="shared" si="2"/>
        <v>0</v>
      </c>
      <c r="U29" s="375">
        <f t="shared" si="2"/>
        <v>0</v>
      </c>
      <c r="V29" s="375">
        <f t="shared" si="2"/>
        <v>0</v>
      </c>
      <c r="W29" s="375">
        <f t="shared" si="2"/>
        <v>0</v>
      </c>
      <c r="X29" s="375">
        <f t="shared" si="2"/>
        <v>0</v>
      </c>
      <c r="Y29" s="369"/>
    </row>
    <row r="30" spans="1:25" ht="13.5" thickBot="1" x14ac:dyDescent="0.25">
      <c r="A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</row>
    <row r="31" spans="1:25" ht="13.5" thickBot="1" x14ac:dyDescent="0.25">
      <c r="A31" s="361" t="s">
        <v>309</v>
      </c>
      <c r="B31" s="359">
        <f>ROW(A31)</f>
        <v>31</v>
      </c>
      <c r="C31" s="363" t="s">
        <v>116</v>
      </c>
      <c r="D31" s="353">
        <f>SUM(B34:Y34)</f>
        <v>13.814500000000002</v>
      </c>
      <c r="E31" s="363" t="s">
        <v>115</v>
      </c>
      <c r="F31" s="399">
        <f>D31/g/J31</f>
        <v>3.1293464718541175</v>
      </c>
      <c r="G31" s="363" t="s">
        <v>57</v>
      </c>
      <c r="H31" s="64">
        <v>0.45</v>
      </c>
      <c r="I31" s="363" t="s">
        <v>270</v>
      </c>
      <c r="J31" s="355">
        <f>H31-L31</f>
        <v>0.45</v>
      </c>
      <c r="K31" s="363" t="s">
        <v>271</v>
      </c>
      <c r="L31" s="64">
        <v>0</v>
      </c>
      <c r="M31" s="363" t="s">
        <v>58</v>
      </c>
      <c r="N31" s="65">
        <f>0.3*R31</f>
        <v>90</v>
      </c>
      <c r="O31" s="363" t="s">
        <v>60</v>
      </c>
      <c r="P31" s="65">
        <v>150</v>
      </c>
      <c r="Q31" s="363" t="s">
        <v>61</v>
      </c>
      <c r="R31" s="65">
        <v>300</v>
      </c>
      <c r="S31" s="363" t="s">
        <v>62</v>
      </c>
      <c r="T31" s="65">
        <v>90</v>
      </c>
      <c r="U31" s="363" t="s">
        <v>55</v>
      </c>
      <c r="V31" s="66" t="s">
        <v>275</v>
      </c>
      <c r="W31" s="12"/>
      <c r="X31" s="12"/>
      <c r="Y31" s="12"/>
    </row>
    <row r="32" spans="1:25" x14ac:dyDescent="0.2">
      <c r="A32" s="362" t="s">
        <v>33</v>
      </c>
      <c r="B32" s="370">
        <v>0</v>
      </c>
      <c r="C32" s="371">
        <v>1E-3</v>
      </c>
      <c r="D32" s="371">
        <v>0.02</v>
      </c>
      <c r="E32" s="371">
        <v>0.04</v>
      </c>
      <c r="F32" s="371">
        <v>6.0999999999999999E-2</v>
      </c>
      <c r="G32" s="371">
        <v>6.2E-2</v>
      </c>
      <c r="H32" s="371">
        <v>6.2E-2</v>
      </c>
      <c r="I32" s="371">
        <v>6.2E-2</v>
      </c>
      <c r="J32" s="371">
        <v>6.2E-2</v>
      </c>
      <c r="K32" s="371">
        <v>6.2E-2</v>
      </c>
      <c r="L32" s="371">
        <v>6.2E-2</v>
      </c>
      <c r="M32" s="371">
        <v>6.2E-2</v>
      </c>
      <c r="N32" s="371">
        <v>6.2E-2</v>
      </c>
      <c r="O32" s="371">
        <v>6.2E-2</v>
      </c>
      <c r="P32" s="371">
        <v>6.2E-2</v>
      </c>
      <c r="Q32" s="371">
        <v>6.2E-2</v>
      </c>
      <c r="R32" s="371">
        <v>6.2E-2</v>
      </c>
      <c r="S32" s="371">
        <v>6.2E-2</v>
      </c>
      <c r="T32" s="371">
        <v>6.2E-2</v>
      </c>
      <c r="U32" s="371">
        <v>6.2E-2</v>
      </c>
      <c r="V32" s="371">
        <v>6.2E-2</v>
      </c>
      <c r="W32" s="371">
        <v>6.2E-2</v>
      </c>
      <c r="X32" s="371">
        <v>6.2E-2</v>
      </c>
      <c r="Y32" s="381">
        <v>1000</v>
      </c>
    </row>
    <row r="33" spans="1:25" x14ac:dyDescent="0.2">
      <c r="A33" s="378" t="s">
        <v>34</v>
      </c>
      <c r="B33" s="372">
        <v>0</v>
      </c>
      <c r="C33" s="373">
        <v>310</v>
      </c>
      <c r="D33" s="373">
        <v>245</v>
      </c>
      <c r="E33" s="373">
        <v>200</v>
      </c>
      <c r="F33" s="373">
        <v>167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  <c r="Y33" s="382">
        <v>0</v>
      </c>
    </row>
    <row r="34" spans="1:25" ht="13.5" thickBot="1" x14ac:dyDescent="0.25">
      <c r="A34" s="379" t="s">
        <v>117</v>
      </c>
      <c r="B34" s="374">
        <f t="shared" ref="B34:X34" si="3">(C33+B33)*(C32-B32)/2</f>
        <v>0.155</v>
      </c>
      <c r="C34" s="375">
        <f t="shared" si="3"/>
        <v>5.2725</v>
      </c>
      <c r="D34" s="375">
        <f t="shared" si="3"/>
        <v>4.45</v>
      </c>
      <c r="E34" s="375">
        <f t="shared" si="3"/>
        <v>3.8534999999999995</v>
      </c>
      <c r="F34" s="375">
        <f t="shared" si="3"/>
        <v>8.3500000000000074E-2</v>
      </c>
      <c r="G34" s="375">
        <f t="shared" si="3"/>
        <v>0</v>
      </c>
      <c r="H34" s="375">
        <f t="shared" si="3"/>
        <v>0</v>
      </c>
      <c r="I34" s="375">
        <f t="shared" si="3"/>
        <v>0</v>
      </c>
      <c r="J34" s="375">
        <f t="shared" si="3"/>
        <v>0</v>
      </c>
      <c r="K34" s="375">
        <f t="shared" si="3"/>
        <v>0</v>
      </c>
      <c r="L34" s="375">
        <f t="shared" si="3"/>
        <v>0</v>
      </c>
      <c r="M34" s="375">
        <f t="shared" si="3"/>
        <v>0</v>
      </c>
      <c r="N34" s="375">
        <f t="shared" si="3"/>
        <v>0</v>
      </c>
      <c r="O34" s="375">
        <f t="shared" si="3"/>
        <v>0</v>
      </c>
      <c r="P34" s="375">
        <f t="shared" si="3"/>
        <v>0</v>
      </c>
      <c r="Q34" s="375">
        <f t="shared" si="3"/>
        <v>0</v>
      </c>
      <c r="R34" s="375">
        <f t="shared" si="3"/>
        <v>0</v>
      </c>
      <c r="S34" s="375">
        <f t="shared" si="3"/>
        <v>0</v>
      </c>
      <c r="T34" s="375">
        <f t="shared" si="3"/>
        <v>0</v>
      </c>
      <c r="U34" s="375">
        <f t="shared" si="3"/>
        <v>0</v>
      </c>
      <c r="V34" s="375">
        <f t="shared" si="3"/>
        <v>0</v>
      </c>
      <c r="W34" s="375">
        <f t="shared" si="3"/>
        <v>0</v>
      </c>
      <c r="X34" s="375">
        <f t="shared" si="3"/>
        <v>0</v>
      </c>
      <c r="Y34" s="369"/>
    </row>
    <row r="35" spans="1:25" ht="13.5" thickBot="1" x14ac:dyDescent="0.2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</row>
    <row r="36" spans="1:25" ht="13.5" thickBot="1" x14ac:dyDescent="0.25">
      <c r="A36" s="361" t="s">
        <v>310</v>
      </c>
      <c r="B36" s="359">
        <f>ROW(A36)</f>
        <v>36</v>
      </c>
      <c r="C36" s="363" t="s">
        <v>116</v>
      </c>
      <c r="D36" s="353">
        <f>SUM(B39:Y39)</f>
        <v>17.144499999999997</v>
      </c>
      <c r="E36" s="363" t="s">
        <v>115</v>
      </c>
      <c r="F36" s="399">
        <f>D36/g/J36</f>
        <v>2.9127590893645934</v>
      </c>
      <c r="G36" s="363" t="s">
        <v>57</v>
      </c>
      <c r="H36" s="64">
        <v>0.6</v>
      </c>
      <c r="I36" s="363" t="s">
        <v>270</v>
      </c>
      <c r="J36" s="355">
        <f>H36-L36</f>
        <v>0.6</v>
      </c>
      <c r="K36" s="363" t="s">
        <v>271</v>
      </c>
      <c r="L36" s="64">
        <v>0</v>
      </c>
      <c r="M36" s="363" t="s">
        <v>58</v>
      </c>
      <c r="N36" s="65">
        <f>0.4*R36</f>
        <v>120</v>
      </c>
      <c r="O36" s="363" t="s">
        <v>60</v>
      </c>
      <c r="P36" s="65">
        <v>150</v>
      </c>
      <c r="Q36" s="363" t="s">
        <v>61</v>
      </c>
      <c r="R36" s="65">
        <v>300</v>
      </c>
      <c r="S36" s="363" t="s">
        <v>62</v>
      </c>
      <c r="T36" s="65">
        <v>90</v>
      </c>
      <c r="U36" s="363" t="s">
        <v>55</v>
      </c>
      <c r="V36" s="66" t="s">
        <v>275</v>
      </c>
      <c r="W36" s="12"/>
      <c r="X36" s="12"/>
      <c r="Y36" s="12"/>
    </row>
    <row r="37" spans="1:25" x14ac:dyDescent="0.2">
      <c r="A37" s="362" t="s">
        <v>33</v>
      </c>
      <c r="B37" s="370">
        <v>0</v>
      </c>
      <c r="C37" s="371">
        <v>1E-3</v>
      </c>
      <c r="D37" s="371">
        <v>0.02</v>
      </c>
      <c r="E37" s="371">
        <v>0.04</v>
      </c>
      <c r="F37" s="371">
        <v>0.06</v>
      </c>
      <c r="G37" s="371">
        <v>0.08</v>
      </c>
      <c r="H37" s="371">
        <v>8.7999999999999995E-2</v>
      </c>
      <c r="I37" s="371">
        <v>8.8999999999999996E-2</v>
      </c>
      <c r="J37" s="371">
        <v>8.8999999999999996E-2</v>
      </c>
      <c r="K37" s="371">
        <v>8.8999999999999996E-2</v>
      </c>
      <c r="L37" s="371">
        <v>8.8999999999999996E-2</v>
      </c>
      <c r="M37" s="371">
        <v>8.8999999999999996E-2</v>
      </c>
      <c r="N37" s="371">
        <v>8.8999999999999996E-2</v>
      </c>
      <c r="O37" s="371">
        <v>8.8999999999999996E-2</v>
      </c>
      <c r="P37" s="371">
        <v>8.8999999999999996E-2</v>
      </c>
      <c r="Q37" s="371">
        <v>8.8999999999999996E-2</v>
      </c>
      <c r="R37" s="371">
        <v>8.8999999999999996E-2</v>
      </c>
      <c r="S37" s="371">
        <v>8.8999999999999996E-2</v>
      </c>
      <c r="T37" s="371">
        <v>8.8999999999999996E-2</v>
      </c>
      <c r="U37" s="371">
        <v>8.8999999999999996E-2</v>
      </c>
      <c r="V37" s="371">
        <v>8.8999999999999996E-2</v>
      </c>
      <c r="W37" s="371">
        <v>8.8999999999999996E-2</v>
      </c>
      <c r="X37" s="371">
        <v>8.8999999999999996E-2</v>
      </c>
      <c r="Y37" s="381">
        <v>1000</v>
      </c>
    </row>
    <row r="38" spans="1:25" x14ac:dyDescent="0.2">
      <c r="A38" s="378" t="s">
        <v>34</v>
      </c>
      <c r="B38" s="372">
        <v>0</v>
      </c>
      <c r="C38" s="373">
        <v>310</v>
      </c>
      <c r="D38" s="373">
        <v>240</v>
      </c>
      <c r="E38" s="373">
        <v>190</v>
      </c>
      <c r="F38" s="373">
        <v>157</v>
      </c>
      <c r="G38" s="373">
        <v>133</v>
      </c>
      <c r="H38" s="373">
        <v>125</v>
      </c>
      <c r="I38" s="373">
        <v>0</v>
      </c>
      <c r="J38" s="373">
        <v>0</v>
      </c>
      <c r="K38" s="373">
        <v>0</v>
      </c>
      <c r="L38" s="373">
        <v>0</v>
      </c>
      <c r="M38" s="373">
        <v>0</v>
      </c>
      <c r="N38" s="373">
        <v>0</v>
      </c>
      <c r="O38" s="373">
        <v>0</v>
      </c>
      <c r="P38" s="373">
        <v>0</v>
      </c>
      <c r="Q38" s="373">
        <v>0</v>
      </c>
      <c r="R38" s="373">
        <v>0</v>
      </c>
      <c r="S38" s="373">
        <v>0</v>
      </c>
      <c r="T38" s="373">
        <v>0</v>
      </c>
      <c r="U38" s="373">
        <v>0</v>
      </c>
      <c r="V38" s="373">
        <v>0</v>
      </c>
      <c r="W38" s="373">
        <v>0</v>
      </c>
      <c r="X38" s="373">
        <v>0</v>
      </c>
      <c r="Y38" s="382">
        <v>0</v>
      </c>
    </row>
    <row r="39" spans="1:25" ht="13.5" thickBot="1" x14ac:dyDescent="0.25">
      <c r="A39" s="379" t="s">
        <v>117</v>
      </c>
      <c r="B39" s="374">
        <f t="shared" ref="B39:X39" si="4">(C38+B38)*(C37-B37)/2</f>
        <v>0.155</v>
      </c>
      <c r="C39" s="375">
        <f t="shared" si="4"/>
        <v>5.2249999999999996</v>
      </c>
      <c r="D39" s="375">
        <f t="shared" si="4"/>
        <v>4.3</v>
      </c>
      <c r="E39" s="375">
        <f t="shared" si="4"/>
        <v>3.4699999999999993</v>
      </c>
      <c r="F39" s="375">
        <f t="shared" si="4"/>
        <v>2.9000000000000004</v>
      </c>
      <c r="G39" s="375">
        <f t="shared" si="4"/>
        <v>1.0319999999999991</v>
      </c>
      <c r="H39" s="375">
        <f t="shared" si="4"/>
        <v>6.2500000000000056E-2</v>
      </c>
      <c r="I39" s="375">
        <f t="shared" si="4"/>
        <v>0</v>
      </c>
      <c r="J39" s="375">
        <f t="shared" si="4"/>
        <v>0</v>
      </c>
      <c r="K39" s="375">
        <f t="shared" si="4"/>
        <v>0</v>
      </c>
      <c r="L39" s="375">
        <f t="shared" si="4"/>
        <v>0</v>
      </c>
      <c r="M39" s="375">
        <f t="shared" si="4"/>
        <v>0</v>
      </c>
      <c r="N39" s="375">
        <f t="shared" si="4"/>
        <v>0</v>
      </c>
      <c r="O39" s="375">
        <f t="shared" si="4"/>
        <v>0</v>
      </c>
      <c r="P39" s="375">
        <f t="shared" si="4"/>
        <v>0</v>
      </c>
      <c r="Q39" s="375">
        <f t="shared" si="4"/>
        <v>0</v>
      </c>
      <c r="R39" s="375">
        <f t="shared" si="4"/>
        <v>0</v>
      </c>
      <c r="S39" s="375">
        <f t="shared" si="4"/>
        <v>0</v>
      </c>
      <c r="T39" s="375">
        <f t="shared" si="4"/>
        <v>0</v>
      </c>
      <c r="U39" s="375">
        <f t="shared" si="4"/>
        <v>0</v>
      </c>
      <c r="V39" s="375">
        <f t="shared" si="4"/>
        <v>0</v>
      </c>
      <c r="W39" s="375">
        <f t="shared" si="4"/>
        <v>0</v>
      </c>
      <c r="X39" s="375">
        <f t="shared" si="4"/>
        <v>0</v>
      </c>
      <c r="Y39" s="369"/>
    </row>
    <row r="40" spans="1:25" ht="13.5" thickBot="1" x14ac:dyDescent="0.25">
      <c r="A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</row>
    <row r="41" spans="1:25" ht="13.5" thickBot="1" x14ac:dyDescent="0.25">
      <c r="A41" s="361" t="s">
        <v>311</v>
      </c>
      <c r="B41" s="359">
        <f>ROW(A41)</f>
        <v>41</v>
      </c>
      <c r="C41" s="363" t="s">
        <v>116</v>
      </c>
      <c r="D41" s="353">
        <f>SUM(B44:Y44)</f>
        <v>19.415000000000003</v>
      </c>
      <c r="E41" s="363" t="s">
        <v>115</v>
      </c>
      <c r="F41" s="399">
        <f>D41/g/J41</f>
        <v>2.6388039415562354</v>
      </c>
      <c r="G41" s="363" t="s">
        <v>57</v>
      </c>
      <c r="H41" s="64">
        <v>0.75</v>
      </c>
      <c r="I41" s="363" t="s">
        <v>270</v>
      </c>
      <c r="J41" s="355">
        <f>H41-L41</f>
        <v>0.75</v>
      </c>
      <c r="K41" s="363" t="s">
        <v>271</v>
      </c>
      <c r="L41" s="64">
        <v>0</v>
      </c>
      <c r="M41" s="363" t="s">
        <v>58</v>
      </c>
      <c r="N41" s="65">
        <f>0.5*R41</f>
        <v>150</v>
      </c>
      <c r="O41" s="363" t="s">
        <v>60</v>
      </c>
      <c r="P41" s="65">
        <v>150</v>
      </c>
      <c r="Q41" s="363" t="s">
        <v>61</v>
      </c>
      <c r="R41" s="65">
        <v>300</v>
      </c>
      <c r="S41" s="363" t="s">
        <v>62</v>
      </c>
      <c r="T41" s="65">
        <v>90</v>
      </c>
      <c r="U41" s="363" t="s">
        <v>55</v>
      </c>
      <c r="V41" s="66" t="s">
        <v>275</v>
      </c>
      <c r="W41" s="12"/>
      <c r="X41" s="12"/>
      <c r="Y41" s="12"/>
    </row>
    <row r="42" spans="1:25" x14ac:dyDescent="0.2">
      <c r="A42" s="362" t="s">
        <v>33</v>
      </c>
      <c r="B42" s="370">
        <v>0</v>
      </c>
      <c r="C42" s="371">
        <v>1E-3</v>
      </c>
      <c r="D42" s="371">
        <v>0.02</v>
      </c>
      <c r="E42" s="371">
        <v>0.04</v>
      </c>
      <c r="F42" s="371">
        <v>0.06</v>
      </c>
      <c r="G42" s="371">
        <v>0.08</v>
      </c>
      <c r="H42" s="371">
        <v>0.1</v>
      </c>
      <c r="I42" s="371">
        <v>0.123</v>
      </c>
      <c r="J42" s="371">
        <v>0.124</v>
      </c>
      <c r="K42" s="371">
        <v>0.124</v>
      </c>
      <c r="L42" s="371">
        <v>0.124</v>
      </c>
      <c r="M42" s="371">
        <v>0.124</v>
      </c>
      <c r="N42" s="371">
        <v>0.124</v>
      </c>
      <c r="O42" s="371">
        <v>0.124</v>
      </c>
      <c r="P42" s="371">
        <v>0.124</v>
      </c>
      <c r="Q42" s="371">
        <v>0.124</v>
      </c>
      <c r="R42" s="371">
        <v>0.124</v>
      </c>
      <c r="S42" s="371">
        <v>0.124</v>
      </c>
      <c r="T42" s="371">
        <v>0.124</v>
      </c>
      <c r="U42" s="371">
        <v>0.124</v>
      </c>
      <c r="V42" s="371">
        <v>0.124</v>
      </c>
      <c r="W42" s="371">
        <v>0.124</v>
      </c>
      <c r="X42" s="371">
        <v>0.124</v>
      </c>
      <c r="Y42" s="381">
        <v>1000</v>
      </c>
    </row>
    <row r="43" spans="1:25" x14ac:dyDescent="0.2">
      <c r="A43" s="378" t="s">
        <v>34</v>
      </c>
      <c r="B43" s="372">
        <v>0</v>
      </c>
      <c r="C43" s="373">
        <v>310</v>
      </c>
      <c r="D43" s="373">
        <v>230</v>
      </c>
      <c r="E43" s="373">
        <v>175</v>
      </c>
      <c r="F43" s="373">
        <v>140</v>
      </c>
      <c r="G43" s="373">
        <v>118</v>
      </c>
      <c r="H43" s="373">
        <v>100</v>
      </c>
      <c r="I43" s="373">
        <v>85</v>
      </c>
      <c r="J43" s="373">
        <v>0</v>
      </c>
      <c r="K43" s="373">
        <v>0</v>
      </c>
      <c r="L43" s="373">
        <v>0</v>
      </c>
      <c r="M43" s="373">
        <v>0</v>
      </c>
      <c r="N43" s="373">
        <v>0</v>
      </c>
      <c r="O43" s="373">
        <v>0</v>
      </c>
      <c r="P43" s="373">
        <v>0</v>
      </c>
      <c r="Q43" s="373">
        <v>0</v>
      </c>
      <c r="R43" s="373">
        <v>0</v>
      </c>
      <c r="S43" s="373">
        <v>0</v>
      </c>
      <c r="T43" s="373">
        <v>0</v>
      </c>
      <c r="U43" s="373">
        <v>0</v>
      </c>
      <c r="V43" s="373">
        <v>0</v>
      </c>
      <c r="W43" s="373">
        <v>0</v>
      </c>
      <c r="X43" s="373">
        <v>0</v>
      </c>
      <c r="Y43" s="382">
        <v>0</v>
      </c>
    </row>
    <row r="44" spans="1:25" ht="13.5" thickBot="1" x14ac:dyDescent="0.25">
      <c r="A44" s="379" t="s">
        <v>117</v>
      </c>
      <c r="B44" s="374">
        <f t="shared" ref="B44:X44" si="5">(C43+B43)*(C42-B42)/2</f>
        <v>0.155</v>
      </c>
      <c r="C44" s="375">
        <f t="shared" si="5"/>
        <v>5.13</v>
      </c>
      <c r="D44" s="375">
        <f t="shared" si="5"/>
        <v>4.05</v>
      </c>
      <c r="E44" s="375">
        <f t="shared" si="5"/>
        <v>3.1499999999999995</v>
      </c>
      <c r="F44" s="375">
        <f t="shared" si="5"/>
        <v>2.5800000000000005</v>
      </c>
      <c r="G44" s="375">
        <f t="shared" si="5"/>
        <v>2.1800000000000006</v>
      </c>
      <c r="H44" s="375">
        <f t="shared" si="5"/>
        <v>2.1274999999999995</v>
      </c>
      <c r="I44" s="375">
        <f t="shared" si="5"/>
        <v>4.2500000000000038E-2</v>
      </c>
      <c r="J44" s="375">
        <f t="shared" si="5"/>
        <v>0</v>
      </c>
      <c r="K44" s="375">
        <f t="shared" si="5"/>
        <v>0</v>
      </c>
      <c r="L44" s="375">
        <f t="shared" si="5"/>
        <v>0</v>
      </c>
      <c r="M44" s="375">
        <f t="shared" si="5"/>
        <v>0</v>
      </c>
      <c r="N44" s="375">
        <f t="shared" si="5"/>
        <v>0</v>
      </c>
      <c r="O44" s="375">
        <f t="shared" si="5"/>
        <v>0</v>
      </c>
      <c r="P44" s="375">
        <f t="shared" si="5"/>
        <v>0</v>
      </c>
      <c r="Q44" s="375">
        <f t="shared" si="5"/>
        <v>0</v>
      </c>
      <c r="R44" s="375">
        <f t="shared" si="5"/>
        <v>0</v>
      </c>
      <c r="S44" s="375">
        <f t="shared" si="5"/>
        <v>0</v>
      </c>
      <c r="T44" s="375">
        <f t="shared" si="5"/>
        <v>0</v>
      </c>
      <c r="U44" s="375">
        <f t="shared" si="5"/>
        <v>0</v>
      </c>
      <c r="V44" s="375">
        <f t="shared" si="5"/>
        <v>0</v>
      </c>
      <c r="W44" s="375">
        <f t="shared" si="5"/>
        <v>0</v>
      </c>
      <c r="X44" s="375">
        <f t="shared" si="5"/>
        <v>0</v>
      </c>
      <c r="Y44" s="369"/>
    </row>
    <row r="45" spans="1:25" ht="13.5" thickBot="1" x14ac:dyDescent="0.25"/>
    <row r="46" spans="1:25" ht="13.5" thickBot="1" x14ac:dyDescent="0.25">
      <c r="A46" s="361" t="s">
        <v>276</v>
      </c>
      <c r="B46" s="359">
        <f>ROW(A46)</f>
        <v>46</v>
      </c>
      <c r="C46" s="363" t="s">
        <v>116</v>
      </c>
      <c r="D46" s="353">
        <f>SUM(B49:Y49)</f>
        <v>12.8695</v>
      </c>
      <c r="E46" s="363" t="s">
        <v>115</v>
      </c>
      <c r="F46" s="399">
        <f>D46/g/J46</f>
        <v>3.2796890927624869</v>
      </c>
      <c r="G46" s="363" t="s">
        <v>57</v>
      </c>
      <c r="H46" s="64">
        <v>0.5</v>
      </c>
      <c r="I46" s="363" t="s">
        <v>270</v>
      </c>
      <c r="J46" s="355">
        <f>H46-L46</f>
        <v>0.4</v>
      </c>
      <c r="K46" s="363" t="s">
        <v>271</v>
      </c>
      <c r="L46" s="64">
        <v>0.1</v>
      </c>
      <c r="M46" s="363" t="s">
        <v>58</v>
      </c>
      <c r="N46" s="65">
        <f>0.2*R46</f>
        <v>60</v>
      </c>
      <c r="O46" s="363" t="s">
        <v>60</v>
      </c>
      <c r="P46" s="65">
        <v>150</v>
      </c>
      <c r="Q46" s="363" t="s">
        <v>61</v>
      </c>
      <c r="R46" s="65">
        <v>300</v>
      </c>
      <c r="S46" s="363" t="s">
        <v>62</v>
      </c>
      <c r="T46" s="65">
        <v>98</v>
      </c>
      <c r="U46" s="363" t="s">
        <v>55</v>
      </c>
      <c r="V46" s="66" t="s">
        <v>275</v>
      </c>
      <c r="W46" s="12"/>
      <c r="X46" s="12"/>
      <c r="Y46" s="12"/>
    </row>
    <row r="47" spans="1:25" x14ac:dyDescent="0.2">
      <c r="A47" s="362" t="s">
        <v>33</v>
      </c>
      <c r="B47" s="370">
        <v>0</v>
      </c>
      <c r="C47" s="371">
        <v>1E-3</v>
      </c>
      <c r="D47" s="371">
        <v>0.02</v>
      </c>
      <c r="E47" s="371">
        <v>0.04</v>
      </c>
      <c r="F47" s="371">
        <v>0.05</v>
      </c>
      <c r="G47" s="371">
        <v>5.0999999999999997E-2</v>
      </c>
      <c r="H47" s="371">
        <v>5.0999999999999997E-2</v>
      </c>
      <c r="I47" s="371">
        <v>5.0999999999999997E-2</v>
      </c>
      <c r="J47" s="371">
        <v>5.0999999999999997E-2</v>
      </c>
      <c r="K47" s="371">
        <v>5.0999999999999997E-2</v>
      </c>
      <c r="L47" s="371">
        <v>5.0999999999999997E-2</v>
      </c>
      <c r="M47" s="371">
        <v>5.0999999999999997E-2</v>
      </c>
      <c r="N47" s="371">
        <v>5.0999999999999997E-2</v>
      </c>
      <c r="O47" s="371">
        <v>5.0999999999999997E-2</v>
      </c>
      <c r="P47" s="371">
        <v>5.0999999999999997E-2</v>
      </c>
      <c r="Q47" s="371">
        <v>5.0999999999999997E-2</v>
      </c>
      <c r="R47" s="371">
        <v>5.0999999999999997E-2</v>
      </c>
      <c r="S47" s="371">
        <v>5.0999999999999997E-2</v>
      </c>
      <c r="T47" s="371">
        <v>5.0999999999999997E-2</v>
      </c>
      <c r="U47" s="371">
        <v>5.0999999999999997E-2</v>
      </c>
      <c r="V47" s="371">
        <v>5.0999999999999997E-2</v>
      </c>
      <c r="W47" s="371">
        <v>5.0999999999999997E-2</v>
      </c>
      <c r="X47" s="371">
        <v>5.0999999999999997E-2</v>
      </c>
      <c r="Y47" s="381">
        <v>1000</v>
      </c>
    </row>
    <row r="48" spans="1:25" x14ac:dyDescent="0.2">
      <c r="A48" s="378" t="s">
        <v>34</v>
      </c>
      <c r="B48" s="372">
        <v>0</v>
      </c>
      <c r="C48" s="373">
        <v>310</v>
      </c>
      <c r="D48" s="373">
        <v>264</v>
      </c>
      <c r="E48" s="373">
        <v>230</v>
      </c>
      <c r="F48" s="373">
        <v>213</v>
      </c>
      <c r="G48" s="373">
        <v>0</v>
      </c>
      <c r="H48" s="373">
        <v>0</v>
      </c>
      <c r="I48" s="373">
        <v>0</v>
      </c>
      <c r="J48" s="373">
        <v>0</v>
      </c>
      <c r="K48" s="373">
        <v>0</v>
      </c>
      <c r="L48" s="373">
        <v>0</v>
      </c>
      <c r="M48" s="373">
        <v>0</v>
      </c>
      <c r="N48" s="373">
        <v>0</v>
      </c>
      <c r="O48" s="373">
        <v>0</v>
      </c>
      <c r="P48" s="373">
        <v>0</v>
      </c>
      <c r="Q48" s="373">
        <v>0</v>
      </c>
      <c r="R48" s="373">
        <v>0</v>
      </c>
      <c r="S48" s="373">
        <v>0</v>
      </c>
      <c r="T48" s="373">
        <v>0</v>
      </c>
      <c r="U48" s="373">
        <v>0</v>
      </c>
      <c r="V48" s="373">
        <v>0</v>
      </c>
      <c r="W48" s="373">
        <v>0</v>
      </c>
      <c r="X48" s="373">
        <v>0</v>
      </c>
      <c r="Y48" s="382">
        <v>0</v>
      </c>
    </row>
    <row r="49" spans="1:25" ht="13.5" thickBot="1" x14ac:dyDescent="0.25">
      <c r="A49" s="379" t="s">
        <v>117</v>
      </c>
      <c r="B49" s="374">
        <f t="shared" ref="B49:X49" si="6">(C48+B48)*(C47-B47)/2</f>
        <v>0.155</v>
      </c>
      <c r="C49" s="375">
        <f t="shared" si="6"/>
        <v>5.4530000000000003</v>
      </c>
      <c r="D49" s="375">
        <f t="shared" si="6"/>
        <v>4.9400000000000004</v>
      </c>
      <c r="E49" s="375">
        <f t="shared" si="6"/>
        <v>2.2150000000000003</v>
      </c>
      <c r="F49" s="375">
        <f t="shared" si="6"/>
        <v>0.10649999999999936</v>
      </c>
      <c r="G49" s="375">
        <f t="shared" si="6"/>
        <v>0</v>
      </c>
      <c r="H49" s="375">
        <f t="shared" si="6"/>
        <v>0</v>
      </c>
      <c r="I49" s="375">
        <f t="shared" si="6"/>
        <v>0</v>
      </c>
      <c r="J49" s="375">
        <f t="shared" si="6"/>
        <v>0</v>
      </c>
      <c r="K49" s="375">
        <f t="shared" si="6"/>
        <v>0</v>
      </c>
      <c r="L49" s="375">
        <f t="shared" si="6"/>
        <v>0</v>
      </c>
      <c r="M49" s="375">
        <f t="shared" si="6"/>
        <v>0</v>
      </c>
      <c r="N49" s="375">
        <f t="shared" si="6"/>
        <v>0</v>
      </c>
      <c r="O49" s="375">
        <f t="shared" si="6"/>
        <v>0</v>
      </c>
      <c r="P49" s="375">
        <f t="shared" si="6"/>
        <v>0</v>
      </c>
      <c r="Q49" s="375">
        <f t="shared" si="6"/>
        <v>0</v>
      </c>
      <c r="R49" s="375">
        <f t="shared" si="6"/>
        <v>0</v>
      </c>
      <c r="S49" s="375">
        <f t="shared" si="6"/>
        <v>0</v>
      </c>
      <c r="T49" s="375">
        <f t="shared" si="6"/>
        <v>0</v>
      </c>
      <c r="U49" s="375">
        <f t="shared" si="6"/>
        <v>0</v>
      </c>
      <c r="V49" s="375">
        <f t="shared" si="6"/>
        <v>0</v>
      </c>
      <c r="W49" s="375">
        <f t="shared" si="6"/>
        <v>0</v>
      </c>
      <c r="X49" s="375">
        <f t="shared" si="6"/>
        <v>0</v>
      </c>
      <c r="Y49" s="369"/>
    </row>
    <row r="50" spans="1:25" ht="13.5" thickBot="1" x14ac:dyDescent="0.25">
      <c r="A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</row>
    <row r="51" spans="1:25" ht="13.5" thickBot="1" x14ac:dyDescent="0.25">
      <c r="A51" s="361" t="s">
        <v>277</v>
      </c>
      <c r="B51" s="359">
        <f>ROW(A51)</f>
        <v>51</v>
      </c>
      <c r="C51" s="363" t="s">
        <v>116</v>
      </c>
      <c r="D51" s="353">
        <f>SUM(B54:Y54)</f>
        <v>18.123500000000003</v>
      </c>
      <c r="E51" s="363" t="s">
        <v>115</v>
      </c>
      <c r="F51" s="399">
        <f>D51/g/J51</f>
        <v>3.0790859667006463</v>
      </c>
      <c r="G51" s="363" t="s">
        <v>57</v>
      </c>
      <c r="H51" s="64">
        <v>0.7</v>
      </c>
      <c r="I51" s="363" t="s">
        <v>270</v>
      </c>
      <c r="J51" s="355">
        <f>H51-L51</f>
        <v>0.6</v>
      </c>
      <c r="K51" s="363" t="s">
        <v>271</v>
      </c>
      <c r="L51" s="64">
        <v>0.1</v>
      </c>
      <c r="M51" s="363" t="s">
        <v>58</v>
      </c>
      <c r="N51" s="65">
        <f>0.3*R51</f>
        <v>90</v>
      </c>
      <c r="O51" s="363" t="s">
        <v>60</v>
      </c>
      <c r="P51" s="65">
        <v>150</v>
      </c>
      <c r="Q51" s="363" t="s">
        <v>61</v>
      </c>
      <c r="R51" s="65">
        <v>300</v>
      </c>
      <c r="S51" s="363" t="s">
        <v>62</v>
      </c>
      <c r="T51" s="65">
        <v>98</v>
      </c>
      <c r="U51" s="363" t="s">
        <v>55</v>
      </c>
      <c r="V51" s="66" t="s">
        <v>275</v>
      </c>
      <c r="W51" s="12"/>
      <c r="X51" s="12"/>
      <c r="Y51" s="12"/>
    </row>
    <row r="52" spans="1:25" x14ac:dyDescent="0.2">
      <c r="A52" s="362" t="s">
        <v>33</v>
      </c>
      <c r="B52" s="370">
        <v>0</v>
      </c>
      <c r="C52" s="371">
        <v>1E-3</v>
      </c>
      <c r="D52" s="371">
        <v>0.02</v>
      </c>
      <c r="E52" s="371">
        <v>0.04</v>
      </c>
      <c r="F52" s="371">
        <v>0.06</v>
      </c>
      <c r="G52" s="371">
        <v>0.08</v>
      </c>
      <c r="H52" s="371">
        <v>8.1000000000000003E-2</v>
      </c>
      <c r="I52" s="371">
        <v>8.1000000000000003E-2</v>
      </c>
      <c r="J52" s="371">
        <v>8.1000000000000003E-2</v>
      </c>
      <c r="K52" s="371">
        <v>8.1000000000000003E-2</v>
      </c>
      <c r="L52" s="371">
        <v>8.1000000000000003E-2</v>
      </c>
      <c r="M52" s="371">
        <v>8.1000000000000003E-2</v>
      </c>
      <c r="N52" s="371">
        <v>8.1000000000000003E-2</v>
      </c>
      <c r="O52" s="371">
        <v>8.1000000000000003E-2</v>
      </c>
      <c r="P52" s="371">
        <v>8.1000000000000003E-2</v>
      </c>
      <c r="Q52" s="371">
        <v>8.1000000000000003E-2</v>
      </c>
      <c r="R52" s="371">
        <v>8.1000000000000003E-2</v>
      </c>
      <c r="S52" s="371">
        <v>8.1000000000000003E-2</v>
      </c>
      <c r="T52" s="371">
        <v>8.1000000000000003E-2</v>
      </c>
      <c r="U52" s="371">
        <v>8.1000000000000003E-2</v>
      </c>
      <c r="V52" s="371">
        <v>8.1000000000000003E-2</v>
      </c>
      <c r="W52" s="371">
        <v>8.1000000000000003E-2</v>
      </c>
      <c r="X52" s="371">
        <v>8.1000000000000003E-2</v>
      </c>
      <c r="Y52" s="381">
        <v>1000</v>
      </c>
    </row>
    <row r="53" spans="1:25" x14ac:dyDescent="0.2">
      <c r="A53" s="378" t="s">
        <v>34</v>
      </c>
      <c r="B53" s="372">
        <v>0</v>
      </c>
      <c r="C53" s="373">
        <v>310</v>
      </c>
      <c r="D53" s="373">
        <v>260</v>
      </c>
      <c r="E53" s="373">
        <v>220</v>
      </c>
      <c r="F53" s="373">
        <v>190</v>
      </c>
      <c r="G53" s="373">
        <v>167</v>
      </c>
      <c r="H53" s="373">
        <v>0</v>
      </c>
      <c r="I53" s="373">
        <v>0</v>
      </c>
      <c r="J53" s="373">
        <v>0</v>
      </c>
      <c r="K53" s="373">
        <v>0</v>
      </c>
      <c r="L53" s="373">
        <v>0</v>
      </c>
      <c r="M53" s="373">
        <v>0</v>
      </c>
      <c r="N53" s="373">
        <v>0</v>
      </c>
      <c r="O53" s="373">
        <v>0</v>
      </c>
      <c r="P53" s="373">
        <v>0</v>
      </c>
      <c r="Q53" s="373">
        <v>0</v>
      </c>
      <c r="R53" s="373">
        <v>0</v>
      </c>
      <c r="S53" s="373">
        <v>0</v>
      </c>
      <c r="T53" s="373">
        <v>0</v>
      </c>
      <c r="U53" s="373">
        <v>0</v>
      </c>
      <c r="V53" s="373">
        <v>0</v>
      </c>
      <c r="W53" s="373">
        <v>0</v>
      </c>
      <c r="X53" s="373">
        <v>0</v>
      </c>
      <c r="Y53" s="382">
        <v>0</v>
      </c>
    </row>
    <row r="54" spans="1:25" ht="13.5" thickBot="1" x14ac:dyDescent="0.25">
      <c r="A54" s="379" t="s">
        <v>117</v>
      </c>
      <c r="B54" s="374">
        <f t="shared" ref="B54:X54" si="7">(C53+B53)*(C52-B52)/2</f>
        <v>0.155</v>
      </c>
      <c r="C54" s="375">
        <f t="shared" si="7"/>
        <v>5.415</v>
      </c>
      <c r="D54" s="375">
        <f t="shared" si="7"/>
        <v>4.8</v>
      </c>
      <c r="E54" s="375">
        <f t="shared" si="7"/>
        <v>4.0999999999999996</v>
      </c>
      <c r="F54" s="375">
        <f t="shared" si="7"/>
        <v>3.5700000000000007</v>
      </c>
      <c r="G54" s="375">
        <f t="shared" si="7"/>
        <v>8.3500000000000074E-2</v>
      </c>
      <c r="H54" s="375">
        <f t="shared" si="7"/>
        <v>0</v>
      </c>
      <c r="I54" s="375">
        <f t="shared" si="7"/>
        <v>0</v>
      </c>
      <c r="J54" s="375">
        <f t="shared" si="7"/>
        <v>0</v>
      </c>
      <c r="K54" s="375">
        <f t="shared" si="7"/>
        <v>0</v>
      </c>
      <c r="L54" s="375">
        <f t="shared" si="7"/>
        <v>0</v>
      </c>
      <c r="M54" s="375">
        <f t="shared" si="7"/>
        <v>0</v>
      </c>
      <c r="N54" s="375">
        <f t="shared" si="7"/>
        <v>0</v>
      </c>
      <c r="O54" s="375">
        <f t="shared" si="7"/>
        <v>0</v>
      </c>
      <c r="P54" s="375">
        <f t="shared" si="7"/>
        <v>0</v>
      </c>
      <c r="Q54" s="375">
        <f t="shared" si="7"/>
        <v>0</v>
      </c>
      <c r="R54" s="375">
        <f t="shared" si="7"/>
        <v>0</v>
      </c>
      <c r="S54" s="375">
        <f t="shared" si="7"/>
        <v>0</v>
      </c>
      <c r="T54" s="375">
        <f t="shared" si="7"/>
        <v>0</v>
      </c>
      <c r="U54" s="375">
        <f t="shared" si="7"/>
        <v>0</v>
      </c>
      <c r="V54" s="375">
        <f t="shared" si="7"/>
        <v>0</v>
      </c>
      <c r="W54" s="375">
        <f t="shared" si="7"/>
        <v>0</v>
      </c>
      <c r="X54" s="375">
        <f t="shared" si="7"/>
        <v>0</v>
      </c>
      <c r="Y54" s="369"/>
    </row>
    <row r="55" spans="1:25" ht="13.5" thickBot="1" x14ac:dyDescent="0.25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</row>
    <row r="56" spans="1:25" ht="13.5" thickBot="1" x14ac:dyDescent="0.25">
      <c r="A56" s="361" t="s">
        <v>278</v>
      </c>
      <c r="B56" s="359">
        <f>ROW(A56)</f>
        <v>56</v>
      </c>
      <c r="C56" s="363" t="s">
        <v>116</v>
      </c>
      <c r="D56" s="353">
        <f>SUM(B59:Y59)</f>
        <v>22.610000000000003</v>
      </c>
      <c r="E56" s="363" t="s">
        <v>115</v>
      </c>
      <c r="F56" s="399">
        <f>D56/g/J56</f>
        <v>2.88098878695209</v>
      </c>
      <c r="G56" s="363" t="s">
        <v>57</v>
      </c>
      <c r="H56" s="64">
        <v>0.9</v>
      </c>
      <c r="I56" s="363" t="s">
        <v>270</v>
      </c>
      <c r="J56" s="355">
        <f>H56-L56</f>
        <v>0.8</v>
      </c>
      <c r="K56" s="363" t="s">
        <v>271</v>
      </c>
      <c r="L56" s="64">
        <v>0.1</v>
      </c>
      <c r="M56" s="363" t="s">
        <v>58</v>
      </c>
      <c r="N56" s="65">
        <f>0.4*R56</f>
        <v>120</v>
      </c>
      <c r="O56" s="363" t="s">
        <v>60</v>
      </c>
      <c r="P56" s="65">
        <v>150</v>
      </c>
      <c r="Q56" s="363" t="s">
        <v>61</v>
      </c>
      <c r="R56" s="65">
        <v>300</v>
      </c>
      <c r="S56" s="363" t="s">
        <v>62</v>
      </c>
      <c r="T56" s="65">
        <v>98</v>
      </c>
      <c r="U56" s="363" t="s">
        <v>55</v>
      </c>
      <c r="V56" s="66" t="s">
        <v>275</v>
      </c>
      <c r="W56" s="12"/>
      <c r="X56" s="12"/>
      <c r="Y56" s="12"/>
    </row>
    <row r="57" spans="1:25" x14ac:dyDescent="0.2">
      <c r="A57" s="362" t="s">
        <v>33</v>
      </c>
      <c r="B57" s="370">
        <v>0</v>
      </c>
      <c r="C57" s="371">
        <v>1E-3</v>
      </c>
      <c r="D57" s="371">
        <v>0.02</v>
      </c>
      <c r="E57" s="371">
        <v>0.04</v>
      </c>
      <c r="F57" s="371">
        <v>0.06</v>
      </c>
      <c r="G57" s="371">
        <v>0.08</v>
      </c>
      <c r="H57" s="371">
        <v>0.1</v>
      </c>
      <c r="I57" s="371">
        <v>0.11700000000000001</v>
      </c>
      <c r="J57" s="371">
        <v>0.11799999999999999</v>
      </c>
      <c r="K57" s="371">
        <v>0.11799999999999999</v>
      </c>
      <c r="L57" s="371">
        <v>0.11799999999999999</v>
      </c>
      <c r="M57" s="371">
        <v>0.11799999999999999</v>
      </c>
      <c r="N57" s="371">
        <v>0.11799999999999999</v>
      </c>
      <c r="O57" s="371">
        <v>0.11799999999999999</v>
      </c>
      <c r="P57" s="371">
        <v>0.11799999999999999</v>
      </c>
      <c r="Q57" s="371">
        <v>0.11799999999999999</v>
      </c>
      <c r="R57" s="371">
        <v>0.11799999999999999</v>
      </c>
      <c r="S57" s="371">
        <v>0.11799999999999999</v>
      </c>
      <c r="T57" s="371">
        <v>0.11799999999999999</v>
      </c>
      <c r="U57" s="371">
        <v>0.11799999999999999</v>
      </c>
      <c r="V57" s="371">
        <v>0.11799999999999999</v>
      </c>
      <c r="W57" s="371">
        <v>0.11799999999999999</v>
      </c>
      <c r="X57" s="371">
        <v>0.11799999999999999</v>
      </c>
      <c r="Y57" s="381">
        <v>1000</v>
      </c>
    </row>
    <row r="58" spans="1:25" x14ac:dyDescent="0.2">
      <c r="A58" s="378" t="s">
        <v>34</v>
      </c>
      <c r="B58" s="372">
        <v>0</v>
      </c>
      <c r="C58" s="373">
        <v>310</v>
      </c>
      <c r="D58" s="373">
        <v>250</v>
      </c>
      <c r="E58" s="373">
        <v>210</v>
      </c>
      <c r="F58" s="373">
        <v>180</v>
      </c>
      <c r="G58" s="373">
        <v>156</v>
      </c>
      <c r="H58" s="373">
        <v>140</v>
      </c>
      <c r="I58" s="373">
        <v>125</v>
      </c>
      <c r="J58" s="373">
        <v>0</v>
      </c>
      <c r="K58" s="373">
        <v>0</v>
      </c>
      <c r="L58" s="373">
        <v>0</v>
      </c>
      <c r="M58" s="373">
        <v>0</v>
      </c>
      <c r="N58" s="373">
        <v>0</v>
      </c>
      <c r="O58" s="373">
        <v>0</v>
      </c>
      <c r="P58" s="373">
        <v>0</v>
      </c>
      <c r="Q58" s="373">
        <v>0</v>
      </c>
      <c r="R58" s="373">
        <v>0</v>
      </c>
      <c r="S58" s="373">
        <v>0</v>
      </c>
      <c r="T58" s="373">
        <v>0</v>
      </c>
      <c r="U58" s="373">
        <v>0</v>
      </c>
      <c r="V58" s="373">
        <v>0</v>
      </c>
      <c r="W58" s="373">
        <v>0</v>
      </c>
      <c r="X58" s="373">
        <v>0</v>
      </c>
      <c r="Y58" s="382">
        <v>0</v>
      </c>
    </row>
    <row r="59" spans="1:25" ht="13.5" thickBot="1" x14ac:dyDescent="0.25">
      <c r="A59" s="379" t="s">
        <v>117</v>
      </c>
      <c r="B59" s="374">
        <f t="shared" ref="B59:X59" si="8">(C58+B58)*(C57-B57)/2</f>
        <v>0.155</v>
      </c>
      <c r="C59" s="375">
        <f t="shared" si="8"/>
        <v>5.32</v>
      </c>
      <c r="D59" s="375">
        <f t="shared" si="8"/>
        <v>4.6000000000000005</v>
      </c>
      <c r="E59" s="375">
        <f t="shared" si="8"/>
        <v>3.8999999999999995</v>
      </c>
      <c r="F59" s="375">
        <f t="shared" si="8"/>
        <v>3.3600000000000008</v>
      </c>
      <c r="G59" s="375">
        <f t="shared" si="8"/>
        <v>2.9600000000000004</v>
      </c>
      <c r="H59" s="375">
        <f t="shared" si="8"/>
        <v>2.2524999999999999</v>
      </c>
      <c r="I59" s="375">
        <f t="shared" si="8"/>
        <v>6.2499999999999188E-2</v>
      </c>
      <c r="J59" s="375">
        <f t="shared" si="8"/>
        <v>0</v>
      </c>
      <c r="K59" s="375">
        <f t="shared" si="8"/>
        <v>0</v>
      </c>
      <c r="L59" s="375">
        <f t="shared" si="8"/>
        <v>0</v>
      </c>
      <c r="M59" s="375">
        <f t="shared" si="8"/>
        <v>0</v>
      </c>
      <c r="N59" s="375">
        <f t="shared" si="8"/>
        <v>0</v>
      </c>
      <c r="O59" s="375">
        <f t="shared" si="8"/>
        <v>0</v>
      </c>
      <c r="P59" s="375">
        <f t="shared" si="8"/>
        <v>0</v>
      </c>
      <c r="Q59" s="375">
        <f t="shared" si="8"/>
        <v>0</v>
      </c>
      <c r="R59" s="375">
        <f t="shared" si="8"/>
        <v>0</v>
      </c>
      <c r="S59" s="375">
        <f t="shared" si="8"/>
        <v>0</v>
      </c>
      <c r="T59" s="375">
        <f t="shared" si="8"/>
        <v>0</v>
      </c>
      <c r="U59" s="375">
        <f t="shared" si="8"/>
        <v>0</v>
      </c>
      <c r="V59" s="375">
        <f t="shared" si="8"/>
        <v>0</v>
      </c>
      <c r="W59" s="375">
        <f t="shared" si="8"/>
        <v>0</v>
      </c>
      <c r="X59" s="375">
        <f t="shared" si="8"/>
        <v>0</v>
      </c>
      <c r="Y59" s="369"/>
    </row>
    <row r="60" spans="1:25" ht="13.5" thickBot="1" x14ac:dyDescent="0.25">
      <c r="A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</row>
    <row r="61" spans="1:25" ht="13.5" thickBot="1" x14ac:dyDescent="0.25">
      <c r="A61" s="361" t="s">
        <v>279</v>
      </c>
      <c r="B61" s="359">
        <f>ROW(A61)</f>
        <v>61</v>
      </c>
      <c r="C61" s="363" t="s">
        <v>116</v>
      </c>
      <c r="D61" s="353">
        <f>SUM(B64:Y64)</f>
        <v>25.874000000000006</v>
      </c>
      <c r="E61" s="363" t="s">
        <v>115</v>
      </c>
      <c r="F61" s="399">
        <f>D61/g/J61</f>
        <v>2.6375127420998985</v>
      </c>
      <c r="G61" s="363" t="s">
        <v>57</v>
      </c>
      <c r="H61" s="64">
        <v>1.1000000000000001</v>
      </c>
      <c r="I61" s="363" t="s">
        <v>270</v>
      </c>
      <c r="J61" s="355">
        <f>H61-L61</f>
        <v>1</v>
      </c>
      <c r="K61" s="363" t="s">
        <v>271</v>
      </c>
      <c r="L61" s="64">
        <v>0.1</v>
      </c>
      <c r="M61" s="363" t="s">
        <v>58</v>
      </c>
      <c r="N61" s="65">
        <f>0.5*R61</f>
        <v>150</v>
      </c>
      <c r="O61" s="363" t="s">
        <v>60</v>
      </c>
      <c r="P61" s="65">
        <v>150</v>
      </c>
      <c r="Q61" s="363" t="s">
        <v>61</v>
      </c>
      <c r="R61" s="65">
        <v>300</v>
      </c>
      <c r="S61" s="363" t="s">
        <v>62</v>
      </c>
      <c r="T61" s="65">
        <v>98</v>
      </c>
      <c r="U61" s="363" t="s">
        <v>55</v>
      </c>
      <c r="V61" s="66" t="s">
        <v>275</v>
      </c>
      <c r="W61" s="12"/>
      <c r="X61" s="12"/>
      <c r="Y61" s="12"/>
    </row>
    <row r="62" spans="1:25" x14ac:dyDescent="0.2">
      <c r="A62" s="362" t="s">
        <v>33</v>
      </c>
      <c r="B62" s="370">
        <v>0</v>
      </c>
      <c r="C62" s="371">
        <v>1E-3</v>
      </c>
      <c r="D62" s="371">
        <v>0.02</v>
      </c>
      <c r="E62" s="371">
        <v>0.04</v>
      </c>
      <c r="F62" s="371">
        <v>0.06</v>
      </c>
      <c r="G62" s="371">
        <v>0.08</v>
      </c>
      <c r="H62" s="371">
        <v>0.1</v>
      </c>
      <c r="I62" s="371">
        <v>0.12</v>
      </c>
      <c r="J62" s="371">
        <v>0.14000000000000001</v>
      </c>
      <c r="K62" s="371">
        <v>0.16400000000000001</v>
      </c>
      <c r="L62" s="371">
        <v>0.16500000000000001</v>
      </c>
      <c r="M62" s="371">
        <v>0.16500000000000001</v>
      </c>
      <c r="N62" s="371">
        <v>0.16500000000000001</v>
      </c>
      <c r="O62" s="371">
        <v>0.16500000000000001</v>
      </c>
      <c r="P62" s="371">
        <v>0.16500000000000001</v>
      </c>
      <c r="Q62" s="371">
        <v>0.16500000000000001</v>
      </c>
      <c r="R62" s="371">
        <v>0.16500000000000001</v>
      </c>
      <c r="S62" s="371">
        <v>0.16500000000000001</v>
      </c>
      <c r="T62" s="371">
        <v>0.16500000000000001</v>
      </c>
      <c r="U62" s="371">
        <v>0.16500000000000001</v>
      </c>
      <c r="V62" s="371">
        <v>0.16500000000000001</v>
      </c>
      <c r="W62" s="371">
        <v>0.16500000000000001</v>
      </c>
      <c r="X62" s="371">
        <v>0.16500000000000001</v>
      </c>
      <c r="Y62" s="381">
        <v>1000</v>
      </c>
    </row>
    <row r="63" spans="1:25" x14ac:dyDescent="0.2">
      <c r="A63" s="378" t="s">
        <v>34</v>
      </c>
      <c r="B63" s="372">
        <v>0</v>
      </c>
      <c r="C63" s="373">
        <v>310</v>
      </c>
      <c r="D63" s="373">
        <v>245</v>
      </c>
      <c r="E63" s="373">
        <v>200</v>
      </c>
      <c r="F63" s="373">
        <v>165</v>
      </c>
      <c r="G63" s="373">
        <v>143</v>
      </c>
      <c r="H63" s="373">
        <v>124</v>
      </c>
      <c r="I63" s="373">
        <v>108</v>
      </c>
      <c r="J63" s="373">
        <v>97</v>
      </c>
      <c r="K63" s="373">
        <v>85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82">
        <v>0</v>
      </c>
    </row>
    <row r="64" spans="1:25" ht="13.5" thickBot="1" x14ac:dyDescent="0.25">
      <c r="A64" s="379" t="s">
        <v>117</v>
      </c>
      <c r="B64" s="374">
        <f t="shared" ref="B64:X64" si="9">(C63+B63)*(C62-B62)/2</f>
        <v>0.155</v>
      </c>
      <c r="C64" s="375">
        <f t="shared" si="9"/>
        <v>5.2725</v>
      </c>
      <c r="D64" s="375">
        <f t="shared" si="9"/>
        <v>4.45</v>
      </c>
      <c r="E64" s="375">
        <f t="shared" si="9"/>
        <v>3.6499999999999995</v>
      </c>
      <c r="F64" s="375">
        <f t="shared" si="9"/>
        <v>3.0800000000000005</v>
      </c>
      <c r="G64" s="375">
        <f t="shared" si="9"/>
        <v>2.6700000000000004</v>
      </c>
      <c r="H64" s="375">
        <f t="shared" si="9"/>
        <v>2.319999999999999</v>
      </c>
      <c r="I64" s="375">
        <f t="shared" si="9"/>
        <v>2.0500000000000016</v>
      </c>
      <c r="J64" s="375">
        <f t="shared" si="9"/>
        <v>2.1839999999999993</v>
      </c>
      <c r="K64" s="375">
        <f t="shared" si="9"/>
        <v>4.2500000000000038E-2</v>
      </c>
      <c r="L64" s="375">
        <f t="shared" si="9"/>
        <v>0</v>
      </c>
      <c r="M64" s="375">
        <f t="shared" si="9"/>
        <v>0</v>
      </c>
      <c r="N64" s="375">
        <f t="shared" si="9"/>
        <v>0</v>
      </c>
      <c r="O64" s="375">
        <f t="shared" si="9"/>
        <v>0</v>
      </c>
      <c r="P64" s="375">
        <f t="shared" si="9"/>
        <v>0</v>
      </c>
      <c r="Q64" s="375">
        <f t="shared" si="9"/>
        <v>0</v>
      </c>
      <c r="R64" s="375">
        <f t="shared" si="9"/>
        <v>0</v>
      </c>
      <c r="S64" s="375">
        <f t="shared" si="9"/>
        <v>0</v>
      </c>
      <c r="T64" s="375">
        <f t="shared" si="9"/>
        <v>0</v>
      </c>
      <c r="U64" s="375">
        <f t="shared" si="9"/>
        <v>0</v>
      </c>
      <c r="V64" s="375">
        <f t="shared" si="9"/>
        <v>0</v>
      </c>
      <c r="W64" s="375">
        <f t="shared" si="9"/>
        <v>0</v>
      </c>
      <c r="X64" s="375">
        <f t="shared" si="9"/>
        <v>0</v>
      </c>
      <c r="Y64" s="369"/>
    </row>
    <row r="66" spans="1:26" ht="13.5" thickBot="1" x14ac:dyDescent="0.25">
      <c r="A66" s="6" t="s">
        <v>182</v>
      </c>
    </row>
    <row r="67" spans="1:26" ht="13.5" thickBot="1" x14ac:dyDescent="0.25">
      <c r="A67" s="361" t="s">
        <v>112</v>
      </c>
      <c r="B67" s="359">
        <f>ROW(A67)</f>
        <v>67</v>
      </c>
      <c r="C67" s="363" t="s">
        <v>116</v>
      </c>
      <c r="D67" s="353">
        <f>SUM(B70:Y70)</f>
        <v>2.65</v>
      </c>
      <c r="E67" s="363" t="s">
        <v>115</v>
      </c>
      <c r="F67" s="354">
        <f>D67/g/J67</f>
        <v>54.026503567787969</v>
      </c>
      <c r="G67" s="363" t="s">
        <v>57</v>
      </c>
      <c r="H67" s="64">
        <v>1.4999999999999999E-2</v>
      </c>
      <c r="I67" s="363" t="s">
        <v>270</v>
      </c>
      <c r="J67" s="355">
        <f>H67-L67</f>
        <v>4.9999999999999992E-3</v>
      </c>
      <c r="K67" s="363" t="s">
        <v>271</v>
      </c>
      <c r="L67" s="64">
        <v>0.01</v>
      </c>
      <c r="M67" s="363" t="s">
        <v>58</v>
      </c>
      <c r="N67" s="65">
        <v>30</v>
      </c>
      <c r="O67" s="363" t="s">
        <v>60</v>
      </c>
      <c r="P67" s="65">
        <v>30</v>
      </c>
      <c r="Q67" s="363" t="s">
        <v>61</v>
      </c>
      <c r="R67" s="65">
        <v>70</v>
      </c>
      <c r="S67" s="363" t="s">
        <v>62</v>
      </c>
      <c r="T67" s="65">
        <v>15</v>
      </c>
      <c r="U67" s="363" t="s">
        <v>55</v>
      </c>
      <c r="V67" s="66" t="s">
        <v>118</v>
      </c>
      <c r="W67" s="463" t="s">
        <v>394</v>
      </c>
      <c r="X67" s="465">
        <v>0.32</v>
      </c>
      <c r="Y67" s="463" t="s">
        <v>393</v>
      </c>
      <c r="Z67" s="358">
        <v>3</v>
      </c>
    </row>
    <row r="68" spans="1:26" x14ac:dyDescent="0.2">
      <c r="A68" s="362" t="s">
        <v>33</v>
      </c>
      <c r="B68" s="370">
        <v>0</v>
      </c>
      <c r="C68" s="371">
        <v>0.2</v>
      </c>
      <c r="D68" s="371">
        <v>0.3</v>
      </c>
      <c r="E68" s="371">
        <v>0.4</v>
      </c>
      <c r="F68" s="371">
        <v>0.5</v>
      </c>
      <c r="G68" s="371">
        <v>0.55000000000000004</v>
      </c>
      <c r="H68" s="371">
        <v>0.6</v>
      </c>
      <c r="I68" s="371">
        <v>0.6</v>
      </c>
      <c r="J68" s="371">
        <v>0.6</v>
      </c>
      <c r="K68" s="371">
        <v>0.6</v>
      </c>
      <c r="L68" s="371">
        <v>0.6</v>
      </c>
      <c r="M68" s="371">
        <v>0.6</v>
      </c>
      <c r="N68" s="371">
        <v>0.6</v>
      </c>
      <c r="O68" s="371">
        <v>0.6</v>
      </c>
      <c r="P68" s="371">
        <v>0.6</v>
      </c>
      <c r="Q68" s="371">
        <v>0.6</v>
      </c>
      <c r="R68" s="371">
        <v>0.6</v>
      </c>
      <c r="S68" s="371">
        <v>0.6</v>
      </c>
      <c r="T68" s="371">
        <v>0.6</v>
      </c>
      <c r="U68" s="371">
        <v>0.6</v>
      </c>
      <c r="V68" s="371">
        <v>0.6</v>
      </c>
      <c r="W68" s="371">
        <v>0.6</v>
      </c>
      <c r="X68" s="371">
        <v>0.6</v>
      </c>
      <c r="Y68" s="381">
        <v>1000</v>
      </c>
    </row>
    <row r="69" spans="1:26" x14ac:dyDescent="0.2">
      <c r="A69" s="378" t="s">
        <v>34</v>
      </c>
      <c r="B69" s="372">
        <v>0</v>
      </c>
      <c r="C69" s="373">
        <v>9</v>
      </c>
      <c r="D69" s="373">
        <v>4.5</v>
      </c>
      <c r="E69" s="373">
        <v>4</v>
      </c>
      <c r="F69" s="373">
        <v>4</v>
      </c>
      <c r="G69" s="373">
        <v>3</v>
      </c>
      <c r="H69" s="373">
        <v>0</v>
      </c>
      <c r="I69" s="373">
        <v>0</v>
      </c>
      <c r="J69" s="373">
        <v>0</v>
      </c>
      <c r="K69" s="373">
        <v>0</v>
      </c>
      <c r="L69" s="373">
        <v>0</v>
      </c>
      <c r="M69" s="373">
        <v>0</v>
      </c>
      <c r="N69" s="373">
        <v>0</v>
      </c>
      <c r="O69" s="373">
        <v>0</v>
      </c>
      <c r="P69" s="373">
        <v>0</v>
      </c>
      <c r="Q69" s="373">
        <v>0</v>
      </c>
      <c r="R69" s="373">
        <v>0</v>
      </c>
      <c r="S69" s="373">
        <v>0</v>
      </c>
      <c r="T69" s="373">
        <v>0</v>
      </c>
      <c r="U69" s="373">
        <v>0</v>
      </c>
      <c r="V69" s="373">
        <v>0</v>
      </c>
      <c r="W69" s="373">
        <v>0</v>
      </c>
      <c r="X69" s="373">
        <v>0</v>
      </c>
      <c r="Y69" s="382">
        <v>0</v>
      </c>
    </row>
    <row r="70" spans="1:26" ht="13.5" thickBot="1" x14ac:dyDescent="0.25">
      <c r="A70" s="379" t="s">
        <v>117</v>
      </c>
      <c r="B70" s="374">
        <f t="shared" ref="B70:X70" si="10">(C69+B69)*(C68-B68)/2</f>
        <v>0.9</v>
      </c>
      <c r="C70" s="375">
        <f t="shared" si="10"/>
        <v>0.67499999999999982</v>
      </c>
      <c r="D70" s="375">
        <f t="shared" si="10"/>
        <v>0.42500000000000016</v>
      </c>
      <c r="E70" s="375">
        <f t="shared" si="10"/>
        <v>0.39999999999999991</v>
      </c>
      <c r="F70" s="375">
        <f t="shared" si="10"/>
        <v>0.17500000000000016</v>
      </c>
      <c r="G70" s="375">
        <f t="shared" si="10"/>
        <v>7.49999999999999E-2</v>
      </c>
      <c r="H70" s="375">
        <f t="shared" si="10"/>
        <v>0</v>
      </c>
      <c r="I70" s="375">
        <f t="shared" si="10"/>
        <v>0</v>
      </c>
      <c r="J70" s="375">
        <f t="shared" si="10"/>
        <v>0</v>
      </c>
      <c r="K70" s="375">
        <f t="shared" si="10"/>
        <v>0</v>
      </c>
      <c r="L70" s="375">
        <f t="shared" si="10"/>
        <v>0</v>
      </c>
      <c r="M70" s="375">
        <f t="shared" si="10"/>
        <v>0</v>
      </c>
      <c r="N70" s="375">
        <f t="shared" si="10"/>
        <v>0</v>
      </c>
      <c r="O70" s="375">
        <f t="shared" si="10"/>
        <v>0</v>
      </c>
      <c r="P70" s="375">
        <f t="shared" si="10"/>
        <v>0</v>
      </c>
      <c r="Q70" s="375">
        <f t="shared" si="10"/>
        <v>0</v>
      </c>
      <c r="R70" s="375">
        <f t="shared" si="10"/>
        <v>0</v>
      </c>
      <c r="S70" s="375">
        <f t="shared" si="10"/>
        <v>0</v>
      </c>
      <c r="T70" s="375">
        <f t="shared" si="10"/>
        <v>0</v>
      </c>
      <c r="U70" s="375">
        <f t="shared" si="10"/>
        <v>0</v>
      </c>
      <c r="V70" s="375">
        <f t="shared" si="10"/>
        <v>0</v>
      </c>
      <c r="W70" s="375">
        <f t="shared" si="10"/>
        <v>0</v>
      </c>
      <c r="X70" s="375">
        <f t="shared" si="10"/>
        <v>0</v>
      </c>
      <c r="Y70" s="369"/>
    </row>
    <row r="71" spans="1:26" ht="13.5" thickBot="1" x14ac:dyDescent="0.25">
      <c r="A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</row>
    <row r="72" spans="1:26" ht="13.5" thickBot="1" x14ac:dyDescent="0.25">
      <c r="A72" s="361" t="s">
        <v>113</v>
      </c>
      <c r="B72" s="359">
        <f>ROW(A72)</f>
        <v>72</v>
      </c>
      <c r="C72" s="363" t="s">
        <v>116</v>
      </c>
      <c r="D72" s="353">
        <f>SUM(B75:Y75)</f>
        <v>5.25</v>
      </c>
      <c r="E72" s="363" t="s">
        <v>115</v>
      </c>
      <c r="F72" s="354">
        <f>D72/g/J72</f>
        <v>89.1946992864424</v>
      </c>
      <c r="G72" s="363" t="s">
        <v>57</v>
      </c>
      <c r="H72" s="64">
        <v>0.02</v>
      </c>
      <c r="I72" s="363" t="s">
        <v>270</v>
      </c>
      <c r="J72" s="355">
        <f>H72-L72</f>
        <v>6.0000000000000001E-3</v>
      </c>
      <c r="K72" s="363" t="s">
        <v>271</v>
      </c>
      <c r="L72" s="64">
        <v>1.4E-2</v>
      </c>
      <c r="M72" s="363" t="s">
        <v>58</v>
      </c>
      <c r="N72" s="65">
        <v>30</v>
      </c>
      <c r="O72" s="363" t="s">
        <v>60</v>
      </c>
      <c r="P72" s="65">
        <v>30</v>
      </c>
      <c r="Q72" s="363" t="s">
        <v>61</v>
      </c>
      <c r="R72" s="65">
        <v>70</v>
      </c>
      <c r="S72" s="363" t="s">
        <v>62</v>
      </c>
      <c r="T72" s="65">
        <v>15</v>
      </c>
      <c r="U72" s="363" t="s">
        <v>55</v>
      </c>
      <c r="V72" s="66" t="s">
        <v>118</v>
      </c>
      <c r="W72" s="463" t="s">
        <v>394</v>
      </c>
      <c r="X72" s="465">
        <v>1.2</v>
      </c>
      <c r="Y72" s="463" t="s">
        <v>393</v>
      </c>
      <c r="Z72" s="358">
        <v>4</v>
      </c>
    </row>
    <row r="73" spans="1:26" x14ac:dyDescent="0.2">
      <c r="A73" s="362" t="s">
        <v>33</v>
      </c>
      <c r="B73" s="370">
        <v>0</v>
      </c>
      <c r="C73" s="371">
        <v>0.2</v>
      </c>
      <c r="D73" s="371">
        <v>0.3</v>
      </c>
      <c r="E73" s="371">
        <v>0.55000000000000004</v>
      </c>
      <c r="F73" s="371">
        <v>1.05</v>
      </c>
      <c r="G73" s="371">
        <v>1.1499999999999999</v>
      </c>
      <c r="H73" s="371">
        <v>1.1499999999999999</v>
      </c>
      <c r="I73" s="371">
        <v>1.1499999999999999</v>
      </c>
      <c r="J73" s="371">
        <v>1.1499999999999999</v>
      </c>
      <c r="K73" s="371">
        <v>1.1499999999999999</v>
      </c>
      <c r="L73" s="371">
        <v>1.1499999999999999</v>
      </c>
      <c r="M73" s="371">
        <v>1.1499999999999999</v>
      </c>
      <c r="N73" s="371">
        <v>1.1499999999999999</v>
      </c>
      <c r="O73" s="371">
        <v>1.1499999999999999</v>
      </c>
      <c r="P73" s="371">
        <v>1.1499999999999999</v>
      </c>
      <c r="Q73" s="371">
        <v>1.1499999999999999</v>
      </c>
      <c r="R73" s="371">
        <v>1.1499999999999999</v>
      </c>
      <c r="S73" s="371">
        <v>1.1499999999999999</v>
      </c>
      <c r="T73" s="371">
        <v>1.1499999999999999</v>
      </c>
      <c r="U73" s="371">
        <v>1.1499999999999999</v>
      </c>
      <c r="V73" s="371">
        <v>1.1499999999999999</v>
      </c>
      <c r="W73" s="371">
        <v>1.1499999999999999</v>
      </c>
      <c r="X73" s="371">
        <v>1.1499999999999999</v>
      </c>
      <c r="Y73" s="381">
        <v>1000</v>
      </c>
    </row>
    <row r="74" spans="1:26" x14ac:dyDescent="0.2">
      <c r="A74" s="378" t="s">
        <v>34</v>
      </c>
      <c r="B74" s="372">
        <v>0</v>
      </c>
      <c r="C74" s="373">
        <v>10</v>
      </c>
      <c r="D74" s="373">
        <v>6</v>
      </c>
      <c r="E74" s="373">
        <v>4</v>
      </c>
      <c r="F74" s="373">
        <v>4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  <c r="Y74" s="382">
        <v>0</v>
      </c>
    </row>
    <row r="75" spans="1:26" ht="13.5" thickBot="1" x14ac:dyDescent="0.25">
      <c r="A75" s="379" t="s">
        <v>117</v>
      </c>
      <c r="B75" s="374">
        <f t="shared" ref="B75:V75" si="11">(C74+B74)*(C73-B73)/2</f>
        <v>1</v>
      </c>
      <c r="C75" s="375">
        <f t="shared" si="11"/>
        <v>0.79999999999999982</v>
      </c>
      <c r="D75" s="375">
        <f t="shared" si="11"/>
        <v>1.2500000000000002</v>
      </c>
      <c r="E75" s="375">
        <f t="shared" si="11"/>
        <v>2</v>
      </c>
      <c r="F75" s="375">
        <f t="shared" si="11"/>
        <v>0.19999999999999973</v>
      </c>
      <c r="G75" s="375">
        <f t="shared" si="11"/>
        <v>0</v>
      </c>
      <c r="H75" s="375">
        <f t="shared" si="11"/>
        <v>0</v>
      </c>
      <c r="I75" s="375">
        <f t="shared" si="11"/>
        <v>0</v>
      </c>
      <c r="J75" s="375">
        <f>(K74+J74)*(K73-J73)/2</f>
        <v>0</v>
      </c>
      <c r="K75" s="375">
        <f t="shared" si="11"/>
        <v>0</v>
      </c>
      <c r="L75" s="375">
        <f t="shared" si="11"/>
        <v>0</v>
      </c>
      <c r="M75" s="375">
        <f t="shared" si="11"/>
        <v>0</v>
      </c>
      <c r="N75" s="375">
        <f t="shared" si="11"/>
        <v>0</v>
      </c>
      <c r="O75" s="375">
        <f t="shared" si="11"/>
        <v>0</v>
      </c>
      <c r="P75" s="375">
        <f t="shared" si="11"/>
        <v>0</v>
      </c>
      <c r="Q75" s="375">
        <f t="shared" si="11"/>
        <v>0</v>
      </c>
      <c r="R75" s="375">
        <f t="shared" si="11"/>
        <v>0</v>
      </c>
      <c r="S75" s="375">
        <f>(T74+S74)*(T73-S73)/2</f>
        <v>0</v>
      </c>
      <c r="T75" s="375">
        <f t="shared" si="11"/>
        <v>0</v>
      </c>
      <c r="U75" s="375">
        <f t="shared" si="11"/>
        <v>0</v>
      </c>
      <c r="V75" s="375">
        <f t="shared" si="11"/>
        <v>0</v>
      </c>
      <c r="W75" s="375">
        <f>(X74+W74)*(X73-W73)/2</f>
        <v>0</v>
      </c>
      <c r="X75" s="375">
        <f>(Y74+X74)*(Y73-X73)/2</f>
        <v>0</v>
      </c>
      <c r="Y75" s="369"/>
    </row>
    <row r="76" spans="1:26" ht="13.5" thickBot="1" x14ac:dyDescent="0.25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</row>
    <row r="77" spans="1:26" ht="13.5" thickBot="1" x14ac:dyDescent="0.25">
      <c r="A77" s="361" t="s">
        <v>114</v>
      </c>
      <c r="B77" s="359">
        <f>ROW(A77)</f>
        <v>77</v>
      </c>
      <c r="C77" s="363" t="s">
        <v>116</v>
      </c>
      <c r="D77" s="353">
        <f>SUM(B80:Y80)</f>
        <v>10.26</v>
      </c>
      <c r="E77" s="363" t="s">
        <v>115</v>
      </c>
      <c r="F77" s="354">
        <f>D77/g/J77</f>
        <v>80.451658433309802</v>
      </c>
      <c r="G77" s="363" t="s">
        <v>57</v>
      </c>
      <c r="H77" s="64">
        <v>2.4E-2</v>
      </c>
      <c r="I77" s="363" t="s">
        <v>270</v>
      </c>
      <c r="J77" s="355">
        <f>H77-L77</f>
        <v>1.3000000000000001E-2</v>
      </c>
      <c r="K77" s="363" t="s">
        <v>271</v>
      </c>
      <c r="L77" s="64">
        <v>1.0999999999999999E-2</v>
      </c>
      <c r="M77" s="363" t="s">
        <v>58</v>
      </c>
      <c r="N77" s="65">
        <v>30</v>
      </c>
      <c r="O77" s="363" t="s">
        <v>60</v>
      </c>
      <c r="P77" s="65">
        <v>30</v>
      </c>
      <c r="Q77" s="363" t="s">
        <v>61</v>
      </c>
      <c r="R77" s="65">
        <v>70</v>
      </c>
      <c r="S77" s="363" t="s">
        <v>62</v>
      </c>
      <c r="T77" s="65">
        <v>15</v>
      </c>
      <c r="U77" s="363" t="s">
        <v>55</v>
      </c>
      <c r="V77" s="66" t="s">
        <v>118</v>
      </c>
      <c r="W77" s="463" t="s">
        <v>394</v>
      </c>
      <c r="X77" s="465">
        <v>1.7</v>
      </c>
      <c r="Y77" s="463" t="s">
        <v>393</v>
      </c>
      <c r="Z77" s="358">
        <v>3</v>
      </c>
    </row>
    <row r="78" spans="1:26" x14ac:dyDescent="0.2">
      <c r="A78" s="362" t="s">
        <v>33</v>
      </c>
      <c r="B78" s="370">
        <v>0</v>
      </c>
      <c r="C78" s="371">
        <v>0.2</v>
      </c>
      <c r="D78" s="371">
        <v>0.3</v>
      </c>
      <c r="E78" s="371">
        <v>0.6</v>
      </c>
      <c r="F78" s="371">
        <v>0.8</v>
      </c>
      <c r="G78" s="371">
        <v>2</v>
      </c>
      <c r="H78" s="371">
        <v>2.1</v>
      </c>
      <c r="I78" s="371">
        <v>2.1</v>
      </c>
      <c r="J78" s="371">
        <v>2.1</v>
      </c>
      <c r="K78" s="371">
        <v>2.1</v>
      </c>
      <c r="L78" s="371">
        <v>2.1</v>
      </c>
      <c r="M78" s="371">
        <v>2.1</v>
      </c>
      <c r="N78" s="371">
        <v>2.1</v>
      </c>
      <c r="O78" s="371">
        <v>2.1</v>
      </c>
      <c r="P78" s="371">
        <v>2.1</v>
      </c>
      <c r="Q78" s="371">
        <v>2.1</v>
      </c>
      <c r="R78" s="371">
        <v>2.1</v>
      </c>
      <c r="S78" s="371">
        <v>2.1</v>
      </c>
      <c r="T78" s="371">
        <v>2.1</v>
      </c>
      <c r="U78" s="371">
        <v>2.1</v>
      </c>
      <c r="V78" s="371">
        <v>2.1</v>
      </c>
      <c r="W78" s="371">
        <v>2.1</v>
      </c>
      <c r="X78" s="371">
        <v>2.1</v>
      </c>
      <c r="Y78" s="381">
        <v>1000</v>
      </c>
    </row>
    <row r="79" spans="1:26" x14ac:dyDescent="0.2">
      <c r="A79" s="378" t="s">
        <v>34</v>
      </c>
      <c r="B79" s="372">
        <v>0</v>
      </c>
      <c r="C79" s="373">
        <v>11</v>
      </c>
      <c r="D79" s="373">
        <v>7</v>
      </c>
      <c r="E79" s="373">
        <v>4</v>
      </c>
      <c r="F79" s="373">
        <v>4.5999999999999996</v>
      </c>
      <c r="G79" s="373">
        <v>4.5999999999999996</v>
      </c>
      <c r="H79" s="373">
        <v>0</v>
      </c>
      <c r="I79" s="373">
        <v>0</v>
      </c>
      <c r="J79" s="373">
        <v>0</v>
      </c>
      <c r="K79" s="373">
        <v>0</v>
      </c>
      <c r="L79" s="373">
        <v>0</v>
      </c>
      <c r="M79" s="373">
        <v>0</v>
      </c>
      <c r="N79" s="373">
        <v>0</v>
      </c>
      <c r="O79" s="373">
        <v>0</v>
      </c>
      <c r="P79" s="373">
        <v>0</v>
      </c>
      <c r="Q79" s="373">
        <v>0</v>
      </c>
      <c r="R79" s="373">
        <v>0</v>
      </c>
      <c r="S79" s="373">
        <v>0</v>
      </c>
      <c r="T79" s="373">
        <v>0</v>
      </c>
      <c r="U79" s="373">
        <v>0</v>
      </c>
      <c r="V79" s="373">
        <v>0</v>
      </c>
      <c r="W79" s="373">
        <v>0</v>
      </c>
      <c r="X79" s="373">
        <v>0</v>
      </c>
      <c r="Y79" s="382">
        <v>0</v>
      </c>
    </row>
    <row r="80" spans="1:26" ht="13.5" thickBot="1" x14ac:dyDescent="0.25">
      <c r="A80" s="379" t="s">
        <v>117</v>
      </c>
      <c r="B80" s="374">
        <f t="shared" ref="B80:G80" si="12">(C79+B79)*(C78-B78)/2</f>
        <v>1.1000000000000001</v>
      </c>
      <c r="C80" s="375">
        <f t="shared" si="12"/>
        <v>0.8999999999999998</v>
      </c>
      <c r="D80" s="375">
        <f t="shared" si="12"/>
        <v>1.65</v>
      </c>
      <c r="E80" s="375">
        <f t="shared" si="12"/>
        <v>0.86000000000000021</v>
      </c>
      <c r="F80" s="375">
        <f t="shared" si="12"/>
        <v>5.52</v>
      </c>
      <c r="G80" s="375">
        <f t="shared" si="12"/>
        <v>0.23000000000000018</v>
      </c>
      <c r="H80" s="375">
        <f t="shared" ref="H80:V80" si="13">(I79+H79)*(I78-H78)/2</f>
        <v>0</v>
      </c>
      <c r="I80" s="375">
        <f t="shared" si="13"/>
        <v>0</v>
      </c>
      <c r="J80" s="375">
        <f>(K79+J79)*(K78-J78)/2</f>
        <v>0</v>
      </c>
      <c r="K80" s="375">
        <f t="shared" si="13"/>
        <v>0</v>
      </c>
      <c r="L80" s="375">
        <f t="shared" si="13"/>
        <v>0</v>
      </c>
      <c r="M80" s="375">
        <f t="shared" si="13"/>
        <v>0</v>
      </c>
      <c r="N80" s="375">
        <f t="shared" si="13"/>
        <v>0</v>
      </c>
      <c r="O80" s="375">
        <f t="shared" si="13"/>
        <v>0</v>
      </c>
      <c r="P80" s="375">
        <f t="shared" si="13"/>
        <v>0</v>
      </c>
      <c r="Q80" s="375">
        <f t="shared" si="13"/>
        <v>0</v>
      </c>
      <c r="R80" s="375">
        <f t="shared" si="13"/>
        <v>0</v>
      </c>
      <c r="S80" s="375">
        <f>(T79+S79)*(T78-S78)/2</f>
        <v>0</v>
      </c>
      <c r="T80" s="375">
        <f t="shared" si="13"/>
        <v>0</v>
      </c>
      <c r="U80" s="375">
        <f t="shared" si="13"/>
        <v>0</v>
      </c>
      <c r="V80" s="375">
        <f t="shared" si="13"/>
        <v>0</v>
      </c>
      <c r="W80" s="375">
        <f>(X79+W79)*(X78-W78)/2</f>
        <v>0</v>
      </c>
      <c r="X80" s="375">
        <f>(Y79+X79)*(Y78-X78)/2</f>
        <v>0</v>
      </c>
      <c r="Y80" s="369"/>
    </row>
    <row r="81" spans="1:26" ht="13.5" thickBot="1" x14ac:dyDescent="0.25">
      <c r="A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</row>
    <row r="82" spans="1:26" ht="13.5" thickBot="1" x14ac:dyDescent="0.25">
      <c r="A82" s="361" t="s">
        <v>329</v>
      </c>
      <c r="B82" s="359">
        <f>ROW(A82)</f>
        <v>82</v>
      </c>
      <c r="C82" s="363" t="s">
        <v>116</v>
      </c>
      <c r="D82" s="353">
        <f>SUM(B85:Y85)</f>
        <v>20.52</v>
      </c>
      <c r="E82" s="363" t="s">
        <v>115</v>
      </c>
      <c r="F82" s="354">
        <f>D82/g/J82</f>
        <v>80.451658433309802</v>
      </c>
      <c r="G82" s="363" t="s">
        <v>57</v>
      </c>
      <c r="H82" s="64">
        <f>H77*2</f>
        <v>4.8000000000000001E-2</v>
      </c>
      <c r="I82" s="363" t="s">
        <v>270</v>
      </c>
      <c r="J82" s="355">
        <f>H82-L82</f>
        <v>2.6000000000000002E-2</v>
      </c>
      <c r="K82" s="363" t="s">
        <v>271</v>
      </c>
      <c r="L82" s="64">
        <f>L77*2</f>
        <v>2.1999999999999999E-2</v>
      </c>
      <c r="M82" s="363" t="s">
        <v>58</v>
      </c>
      <c r="N82" s="65">
        <v>30</v>
      </c>
      <c r="O82" s="363" t="s">
        <v>60</v>
      </c>
      <c r="P82" s="65">
        <v>30</v>
      </c>
      <c r="Q82" s="363" t="s">
        <v>61</v>
      </c>
      <c r="R82" s="65">
        <v>70</v>
      </c>
      <c r="S82" s="363" t="s">
        <v>62</v>
      </c>
      <c r="T82" s="65">
        <v>30</v>
      </c>
      <c r="U82" s="363" t="s">
        <v>55</v>
      </c>
      <c r="V82" s="66" t="s">
        <v>118</v>
      </c>
      <c r="W82" s="463" t="s">
        <v>394</v>
      </c>
      <c r="X82" s="465">
        <v>1.7</v>
      </c>
      <c r="Y82" s="463" t="s">
        <v>393</v>
      </c>
      <c r="Z82" s="358">
        <v>3</v>
      </c>
    </row>
    <row r="83" spans="1:26" x14ac:dyDescent="0.2">
      <c r="A83" s="362" t="s">
        <v>33</v>
      </c>
      <c r="B83" s="370">
        <v>0</v>
      </c>
      <c r="C83" s="371">
        <v>0.2</v>
      </c>
      <c r="D83" s="371">
        <v>0.3</v>
      </c>
      <c r="E83" s="371">
        <v>0.6</v>
      </c>
      <c r="F83" s="371">
        <v>0.8</v>
      </c>
      <c r="G83" s="371">
        <v>2</v>
      </c>
      <c r="H83" s="371">
        <v>2.1</v>
      </c>
      <c r="I83" s="371">
        <v>2.1</v>
      </c>
      <c r="J83" s="371">
        <v>2.1</v>
      </c>
      <c r="K83" s="371">
        <v>2.1</v>
      </c>
      <c r="L83" s="371">
        <v>2.1</v>
      </c>
      <c r="M83" s="371">
        <v>2.1</v>
      </c>
      <c r="N83" s="371">
        <v>2.1</v>
      </c>
      <c r="O83" s="371">
        <v>2.1</v>
      </c>
      <c r="P83" s="371">
        <v>2.1</v>
      </c>
      <c r="Q83" s="371">
        <v>2.1</v>
      </c>
      <c r="R83" s="371">
        <v>2.1</v>
      </c>
      <c r="S83" s="371">
        <v>2.1</v>
      </c>
      <c r="T83" s="371">
        <v>2.1</v>
      </c>
      <c r="U83" s="371">
        <v>2.1</v>
      </c>
      <c r="V83" s="371">
        <v>2.1</v>
      </c>
      <c r="W83" s="371">
        <v>2.1</v>
      </c>
      <c r="X83" s="371">
        <v>2.1</v>
      </c>
      <c r="Y83" s="381">
        <v>1000</v>
      </c>
    </row>
    <row r="84" spans="1:26" x14ac:dyDescent="0.2">
      <c r="A84" s="378" t="s">
        <v>34</v>
      </c>
      <c r="B84" s="372">
        <f>B79*2</f>
        <v>0</v>
      </c>
      <c r="C84" s="373">
        <f t="shared" ref="C84:X84" si="14">C79*2</f>
        <v>22</v>
      </c>
      <c r="D84" s="373">
        <f t="shared" si="14"/>
        <v>14</v>
      </c>
      <c r="E84" s="373">
        <f t="shared" si="14"/>
        <v>8</v>
      </c>
      <c r="F84" s="373">
        <f t="shared" si="14"/>
        <v>9.1999999999999993</v>
      </c>
      <c r="G84" s="373">
        <f t="shared" si="14"/>
        <v>9.1999999999999993</v>
      </c>
      <c r="H84" s="373">
        <f t="shared" si="14"/>
        <v>0</v>
      </c>
      <c r="I84" s="373">
        <f t="shared" si="14"/>
        <v>0</v>
      </c>
      <c r="J84" s="373">
        <f t="shared" si="14"/>
        <v>0</v>
      </c>
      <c r="K84" s="373">
        <f t="shared" si="14"/>
        <v>0</v>
      </c>
      <c r="L84" s="373">
        <f t="shared" si="14"/>
        <v>0</v>
      </c>
      <c r="M84" s="373">
        <f t="shared" si="14"/>
        <v>0</v>
      </c>
      <c r="N84" s="373">
        <f t="shared" si="14"/>
        <v>0</v>
      </c>
      <c r="O84" s="373">
        <f t="shared" si="14"/>
        <v>0</v>
      </c>
      <c r="P84" s="373">
        <f t="shared" si="14"/>
        <v>0</v>
      </c>
      <c r="Q84" s="373">
        <f t="shared" si="14"/>
        <v>0</v>
      </c>
      <c r="R84" s="373">
        <f t="shared" si="14"/>
        <v>0</v>
      </c>
      <c r="S84" s="373">
        <f t="shared" si="14"/>
        <v>0</v>
      </c>
      <c r="T84" s="373">
        <f t="shared" si="14"/>
        <v>0</v>
      </c>
      <c r="U84" s="373">
        <f t="shared" si="14"/>
        <v>0</v>
      </c>
      <c r="V84" s="373">
        <f t="shared" si="14"/>
        <v>0</v>
      </c>
      <c r="W84" s="373">
        <f t="shared" si="14"/>
        <v>0</v>
      </c>
      <c r="X84" s="373">
        <f t="shared" si="14"/>
        <v>0</v>
      </c>
      <c r="Y84" s="382">
        <v>0</v>
      </c>
    </row>
    <row r="85" spans="1:26" ht="13.5" thickBot="1" x14ac:dyDescent="0.25">
      <c r="A85" s="379" t="s">
        <v>117</v>
      </c>
      <c r="B85" s="374">
        <f t="shared" ref="B85:X85" si="15">(C84+B84)*(C83-B83)/2</f>
        <v>2.2000000000000002</v>
      </c>
      <c r="C85" s="375">
        <f t="shared" si="15"/>
        <v>1.7999999999999996</v>
      </c>
      <c r="D85" s="375">
        <f t="shared" si="15"/>
        <v>3.3</v>
      </c>
      <c r="E85" s="375">
        <f t="shared" si="15"/>
        <v>1.7200000000000004</v>
      </c>
      <c r="F85" s="375">
        <f t="shared" si="15"/>
        <v>11.04</v>
      </c>
      <c r="G85" s="375">
        <f t="shared" si="15"/>
        <v>0.46000000000000035</v>
      </c>
      <c r="H85" s="375">
        <f t="shared" si="15"/>
        <v>0</v>
      </c>
      <c r="I85" s="375">
        <f t="shared" si="15"/>
        <v>0</v>
      </c>
      <c r="J85" s="375">
        <f t="shared" si="15"/>
        <v>0</v>
      </c>
      <c r="K85" s="375">
        <f t="shared" si="15"/>
        <v>0</v>
      </c>
      <c r="L85" s="375">
        <f t="shared" si="15"/>
        <v>0</v>
      </c>
      <c r="M85" s="375">
        <f t="shared" si="15"/>
        <v>0</v>
      </c>
      <c r="N85" s="375">
        <f t="shared" si="15"/>
        <v>0</v>
      </c>
      <c r="O85" s="375">
        <f t="shared" si="15"/>
        <v>0</v>
      </c>
      <c r="P85" s="375">
        <f t="shared" si="15"/>
        <v>0</v>
      </c>
      <c r="Q85" s="375">
        <f t="shared" si="15"/>
        <v>0</v>
      </c>
      <c r="R85" s="375">
        <f t="shared" si="15"/>
        <v>0</v>
      </c>
      <c r="S85" s="375">
        <f t="shared" si="15"/>
        <v>0</v>
      </c>
      <c r="T85" s="375">
        <f t="shared" si="15"/>
        <v>0</v>
      </c>
      <c r="U85" s="375">
        <f t="shared" si="15"/>
        <v>0</v>
      </c>
      <c r="V85" s="375">
        <f t="shared" si="15"/>
        <v>0</v>
      </c>
      <c r="W85" s="375">
        <f t="shared" si="15"/>
        <v>0</v>
      </c>
      <c r="X85" s="375">
        <f t="shared" si="15"/>
        <v>0</v>
      </c>
      <c r="Y85" s="369"/>
    </row>
    <row r="86" spans="1:26" ht="13.5" thickBot="1" x14ac:dyDescent="0.25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</row>
    <row r="87" spans="1:26" ht="13.5" thickBot="1" x14ac:dyDescent="0.25">
      <c r="A87" s="361" t="s">
        <v>330</v>
      </c>
      <c r="B87" s="359">
        <f>ROW(A87)</f>
        <v>87</v>
      </c>
      <c r="C87" s="363" t="s">
        <v>116</v>
      </c>
      <c r="D87" s="353">
        <f>SUM(B90:Y90)</f>
        <v>30.779999999999998</v>
      </c>
      <c r="E87" s="363" t="s">
        <v>115</v>
      </c>
      <c r="F87" s="354">
        <f>D87/g/J87</f>
        <v>80.451658433309774</v>
      </c>
      <c r="G87" s="363" t="s">
        <v>57</v>
      </c>
      <c r="H87" s="64">
        <f>H77*3</f>
        <v>7.2000000000000008E-2</v>
      </c>
      <c r="I87" s="363" t="s">
        <v>270</v>
      </c>
      <c r="J87" s="355">
        <f>H87-L87</f>
        <v>3.9000000000000007E-2</v>
      </c>
      <c r="K87" s="363" t="s">
        <v>271</v>
      </c>
      <c r="L87" s="64">
        <f>L77*3</f>
        <v>3.3000000000000002E-2</v>
      </c>
      <c r="M87" s="363" t="s">
        <v>58</v>
      </c>
      <c r="N87" s="65">
        <v>30</v>
      </c>
      <c r="O87" s="363" t="s">
        <v>60</v>
      </c>
      <c r="P87" s="65">
        <v>30</v>
      </c>
      <c r="Q87" s="363" t="s">
        <v>61</v>
      </c>
      <c r="R87" s="65">
        <v>70</v>
      </c>
      <c r="S87" s="363" t="s">
        <v>62</v>
      </c>
      <c r="T87" s="65">
        <v>40</v>
      </c>
      <c r="U87" s="363" t="s">
        <v>55</v>
      </c>
      <c r="V87" s="66" t="s">
        <v>118</v>
      </c>
      <c r="W87" s="463" t="s">
        <v>394</v>
      </c>
      <c r="X87" s="465">
        <v>1.7</v>
      </c>
      <c r="Y87" s="463" t="s">
        <v>393</v>
      </c>
      <c r="Z87" s="358">
        <v>3</v>
      </c>
    </row>
    <row r="88" spans="1:26" x14ac:dyDescent="0.2">
      <c r="A88" s="362" t="s">
        <v>33</v>
      </c>
      <c r="B88" s="370">
        <v>0</v>
      </c>
      <c r="C88" s="371">
        <v>0.2</v>
      </c>
      <c r="D88" s="371">
        <v>0.3</v>
      </c>
      <c r="E88" s="371">
        <v>0.6</v>
      </c>
      <c r="F88" s="371">
        <v>0.8</v>
      </c>
      <c r="G88" s="371">
        <v>2</v>
      </c>
      <c r="H88" s="371">
        <v>2.1</v>
      </c>
      <c r="I88" s="371">
        <v>2.1</v>
      </c>
      <c r="J88" s="371">
        <v>2.1</v>
      </c>
      <c r="K88" s="371">
        <v>2.1</v>
      </c>
      <c r="L88" s="371">
        <v>2.1</v>
      </c>
      <c r="M88" s="371">
        <v>2.1</v>
      </c>
      <c r="N88" s="371">
        <v>2.1</v>
      </c>
      <c r="O88" s="371">
        <v>2.1</v>
      </c>
      <c r="P88" s="371">
        <v>2.1</v>
      </c>
      <c r="Q88" s="371">
        <v>2.1</v>
      </c>
      <c r="R88" s="371">
        <v>2.1</v>
      </c>
      <c r="S88" s="371">
        <v>2.1</v>
      </c>
      <c r="T88" s="371">
        <v>2.1</v>
      </c>
      <c r="U88" s="371">
        <v>2.1</v>
      </c>
      <c r="V88" s="371">
        <v>2.1</v>
      </c>
      <c r="W88" s="371">
        <v>2.1</v>
      </c>
      <c r="X88" s="371">
        <v>2.1</v>
      </c>
      <c r="Y88" s="381">
        <v>1000</v>
      </c>
    </row>
    <row r="89" spans="1:26" x14ac:dyDescent="0.2">
      <c r="A89" s="378" t="s">
        <v>34</v>
      </c>
      <c r="B89" s="372">
        <f>B79*3</f>
        <v>0</v>
      </c>
      <c r="C89" s="373">
        <f t="shared" ref="C89:X89" si="16">C79*3</f>
        <v>33</v>
      </c>
      <c r="D89" s="373">
        <f t="shared" si="16"/>
        <v>21</v>
      </c>
      <c r="E89" s="373">
        <f t="shared" si="16"/>
        <v>12</v>
      </c>
      <c r="F89" s="373">
        <f t="shared" si="16"/>
        <v>13.799999999999999</v>
      </c>
      <c r="G89" s="373">
        <f t="shared" si="16"/>
        <v>13.799999999999999</v>
      </c>
      <c r="H89" s="373">
        <f t="shared" si="16"/>
        <v>0</v>
      </c>
      <c r="I89" s="373">
        <f t="shared" si="16"/>
        <v>0</v>
      </c>
      <c r="J89" s="373">
        <f t="shared" si="16"/>
        <v>0</v>
      </c>
      <c r="K89" s="373">
        <f t="shared" si="16"/>
        <v>0</v>
      </c>
      <c r="L89" s="373">
        <f t="shared" si="16"/>
        <v>0</v>
      </c>
      <c r="M89" s="373">
        <f t="shared" si="16"/>
        <v>0</v>
      </c>
      <c r="N89" s="373">
        <f t="shared" si="16"/>
        <v>0</v>
      </c>
      <c r="O89" s="373">
        <f t="shared" si="16"/>
        <v>0</v>
      </c>
      <c r="P89" s="373">
        <f t="shared" si="16"/>
        <v>0</v>
      </c>
      <c r="Q89" s="373">
        <f t="shared" si="16"/>
        <v>0</v>
      </c>
      <c r="R89" s="373">
        <f t="shared" si="16"/>
        <v>0</v>
      </c>
      <c r="S89" s="373">
        <f t="shared" si="16"/>
        <v>0</v>
      </c>
      <c r="T89" s="373">
        <f t="shared" si="16"/>
        <v>0</v>
      </c>
      <c r="U89" s="373">
        <f t="shared" si="16"/>
        <v>0</v>
      </c>
      <c r="V89" s="373">
        <f t="shared" si="16"/>
        <v>0</v>
      </c>
      <c r="W89" s="373">
        <f t="shared" si="16"/>
        <v>0</v>
      </c>
      <c r="X89" s="373">
        <f t="shared" si="16"/>
        <v>0</v>
      </c>
      <c r="Y89" s="382">
        <v>0</v>
      </c>
    </row>
    <row r="90" spans="1:26" ht="13.5" thickBot="1" x14ac:dyDescent="0.25">
      <c r="A90" s="379" t="s">
        <v>117</v>
      </c>
      <c r="B90" s="374">
        <f t="shared" ref="B90:X90" si="17">(C89+B89)*(C88-B88)/2</f>
        <v>3.3000000000000003</v>
      </c>
      <c r="C90" s="375">
        <f t="shared" si="17"/>
        <v>2.6999999999999993</v>
      </c>
      <c r="D90" s="375">
        <f t="shared" si="17"/>
        <v>4.95</v>
      </c>
      <c r="E90" s="375">
        <f t="shared" si="17"/>
        <v>2.5800000000000005</v>
      </c>
      <c r="F90" s="375">
        <f t="shared" si="17"/>
        <v>16.559999999999999</v>
      </c>
      <c r="G90" s="375">
        <f t="shared" si="17"/>
        <v>0.69000000000000061</v>
      </c>
      <c r="H90" s="375">
        <f t="shared" si="17"/>
        <v>0</v>
      </c>
      <c r="I90" s="375">
        <f t="shared" si="17"/>
        <v>0</v>
      </c>
      <c r="J90" s="375">
        <f t="shared" si="17"/>
        <v>0</v>
      </c>
      <c r="K90" s="375">
        <f t="shared" si="17"/>
        <v>0</v>
      </c>
      <c r="L90" s="375">
        <f t="shared" si="17"/>
        <v>0</v>
      </c>
      <c r="M90" s="375">
        <f t="shared" si="17"/>
        <v>0</v>
      </c>
      <c r="N90" s="375">
        <f t="shared" si="17"/>
        <v>0</v>
      </c>
      <c r="O90" s="375">
        <f t="shared" si="17"/>
        <v>0</v>
      </c>
      <c r="P90" s="375">
        <f t="shared" si="17"/>
        <v>0</v>
      </c>
      <c r="Q90" s="375">
        <f t="shared" si="17"/>
        <v>0</v>
      </c>
      <c r="R90" s="375">
        <f t="shared" si="17"/>
        <v>0</v>
      </c>
      <c r="S90" s="375">
        <f t="shared" si="17"/>
        <v>0</v>
      </c>
      <c r="T90" s="375">
        <f t="shared" si="17"/>
        <v>0</v>
      </c>
      <c r="U90" s="375">
        <f t="shared" si="17"/>
        <v>0</v>
      </c>
      <c r="V90" s="375">
        <f t="shared" si="17"/>
        <v>0</v>
      </c>
      <c r="W90" s="375">
        <f t="shared" si="17"/>
        <v>0</v>
      </c>
      <c r="X90" s="375">
        <f t="shared" si="17"/>
        <v>0</v>
      </c>
      <c r="Y90" s="369"/>
    </row>
    <row r="91" spans="1:26" ht="13.5" thickBot="1" x14ac:dyDescent="0.25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</row>
    <row r="92" spans="1:26" ht="13.5" thickBot="1" x14ac:dyDescent="0.25">
      <c r="A92" s="361" t="s">
        <v>541</v>
      </c>
      <c r="B92" s="359">
        <f>ROW(A92)</f>
        <v>92</v>
      </c>
      <c r="C92" s="363" t="s">
        <v>116</v>
      </c>
      <c r="D92" s="353">
        <f>SUM(B95:Y95)</f>
        <v>19.961989000000003</v>
      </c>
      <c r="E92" s="363" t="s">
        <v>115</v>
      </c>
      <c r="F92" s="354">
        <f>D92/g/J92</f>
        <v>118.30588744280873</v>
      </c>
      <c r="G92" s="363" t="s">
        <v>57</v>
      </c>
      <c r="H92" s="64">
        <v>2.8199999999999999E-2</v>
      </c>
      <c r="I92" s="363" t="s">
        <v>270</v>
      </c>
      <c r="J92" s="355">
        <f>H92-L92</f>
        <v>1.72E-2</v>
      </c>
      <c r="K92" s="363" t="s">
        <v>271</v>
      </c>
      <c r="L92" s="64">
        <v>1.0999999999999999E-2</v>
      </c>
      <c r="M92" s="363" t="s">
        <v>58</v>
      </c>
      <c r="N92" s="65">
        <v>30</v>
      </c>
      <c r="O92" s="363" t="s">
        <v>60</v>
      </c>
      <c r="P92" s="65">
        <v>30</v>
      </c>
      <c r="Q92" s="363" t="s">
        <v>61</v>
      </c>
      <c r="R92" s="65">
        <v>70</v>
      </c>
      <c r="S92" s="363" t="s">
        <v>62</v>
      </c>
      <c r="T92" s="65">
        <v>18</v>
      </c>
      <c r="U92" s="363" t="s">
        <v>55</v>
      </c>
      <c r="V92" s="66" t="s">
        <v>401</v>
      </c>
      <c r="W92" s="463" t="s">
        <v>394</v>
      </c>
      <c r="X92" s="465">
        <v>2.1</v>
      </c>
      <c r="Y92" s="463" t="s">
        <v>393</v>
      </c>
      <c r="Z92" s="358">
        <v>7</v>
      </c>
    </row>
    <row r="93" spans="1:26" x14ac:dyDescent="0.2">
      <c r="A93" s="362" t="s">
        <v>33</v>
      </c>
      <c r="B93" s="370">
        <v>0</v>
      </c>
      <c r="C93" s="472">
        <v>0.04</v>
      </c>
      <c r="D93" s="472">
        <v>0.11600000000000001</v>
      </c>
      <c r="E93" s="472">
        <v>0.21299999999999999</v>
      </c>
      <c r="F93" s="472">
        <v>0.28599999999999998</v>
      </c>
      <c r="G93" s="472">
        <v>0.32900000000000001</v>
      </c>
      <c r="H93" s="472">
        <v>0.36899999999999999</v>
      </c>
      <c r="I93" s="472">
        <v>0.42</v>
      </c>
      <c r="J93" s="472">
        <v>0.495</v>
      </c>
      <c r="K93" s="472">
        <v>0.59699999999999998</v>
      </c>
      <c r="L93" s="472">
        <v>1.7110000000000001</v>
      </c>
      <c r="M93" s="472">
        <v>1.8260000000000001</v>
      </c>
      <c r="N93" s="472">
        <v>1.917</v>
      </c>
      <c r="O93" s="472">
        <v>1.9750000000000001</v>
      </c>
      <c r="P93" s="472">
        <v>2.206</v>
      </c>
      <c r="Q93" s="472">
        <v>2.242</v>
      </c>
      <c r="R93" s="371">
        <v>2.5</v>
      </c>
      <c r="S93" s="371">
        <v>2.5</v>
      </c>
      <c r="T93" s="371">
        <v>2.5</v>
      </c>
      <c r="U93" s="371">
        <v>2.5</v>
      </c>
      <c r="V93" s="371">
        <v>2.5</v>
      </c>
      <c r="W93" s="371">
        <v>2.5</v>
      </c>
      <c r="X93" s="371">
        <v>2.5</v>
      </c>
      <c r="Y93" s="381">
        <v>1000</v>
      </c>
    </row>
    <row r="94" spans="1:26" x14ac:dyDescent="0.2">
      <c r="A94" s="378" t="s">
        <v>34</v>
      </c>
      <c r="B94" s="372">
        <v>0</v>
      </c>
      <c r="C94" s="472">
        <v>2.1110000000000002</v>
      </c>
      <c r="D94" s="472">
        <v>9.6850000000000005</v>
      </c>
      <c r="E94" s="472">
        <v>25</v>
      </c>
      <c r="F94" s="472">
        <v>15.738</v>
      </c>
      <c r="G94" s="472">
        <v>12.472</v>
      </c>
      <c r="H94" s="472">
        <v>10.67</v>
      </c>
      <c r="I94" s="472">
        <v>9.7129999999999992</v>
      </c>
      <c r="J94" s="472">
        <v>9.1780000000000008</v>
      </c>
      <c r="K94" s="472">
        <v>8.8960000000000008</v>
      </c>
      <c r="L94" s="472">
        <v>8.9250000000000007</v>
      </c>
      <c r="M94" s="472">
        <v>8.6989999999999998</v>
      </c>
      <c r="N94" s="472">
        <v>8.0519999999999996</v>
      </c>
      <c r="O94" s="472">
        <v>6.9539999999999997</v>
      </c>
      <c r="P94" s="472">
        <v>1.07</v>
      </c>
      <c r="Q94" s="472">
        <v>0</v>
      </c>
      <c r="R94" s="373">
        <v>0</v>
      </c>
      <c r="S94" s="373">
        <v>0</v>
      </c>
      <c r="T94" s="373">
        <v>0</v>
      </c>
      <c r="U94" s="373">
        <v>0</v>
      </c>
      <c r="V94" s="373">
        <v>0</v>
      </c>
      <c r="W94" s="373">
        <v>0</v>
      </c>
      <c r="X94" s="373">
        <v>0</v>
      </c>
      <c r="Y94" s="382">
        <v>0</v>
      </c>
    </row>
    <row r="95" spans="1:26" ht="13.5" thickBot="1" x14ac:dyDescent="0.25">
      <c r="A95" s="379" t="s">
        <v>117</v>
      </c>
      <c r="B95" s="374">
        <f t="shared" ref="B95:X95" si="18">(C94+B94)*(C93-B93)/2</f>
        <v>4.2220000000000008E-2</v>
      </c>
      <c r="C95" s="375">
        <f t="shared" si="18"/>
        <v>0.44824800000000009</v>
      </c>
      <c r="D95" s="375">
        <f t="shared" si="18"/>
        <v>1.6822225</v>
      </c>
      <c r="E95" s="375">
        <f t="shared" si="18"/>
        <v>1.4869369999999995</v>
      </c>
      <c r="F95" s="375">
        <f t="shared" si="18"/>
        <v>0.60651500000000058</v>
      </c>
      <c r="G95" s="375">
        <f t="shared" si="18"/>
        <v>0.46283999999999975</v>
      </c>
      <c r="H95" s="375">
        <f t="shared" si="18"/>
        <v>0.51976649999999991</v>
      </c>
      <c r="I95" s="375">
        <f t="shared" si="18"/>
        <v>0.7084125</v>
      </c>
      <c r="J95" s="375">
        <f t="shared" si="18"/>
        <v>0.92177399999999987</v>
      </c>
      <c r="K95" s="375">
        <f t="shared" si="18"/>
        <v>9.9262970000000017</v>
      </c>
      <c r="L95" s="375">
        <f t="shared" si="18"/>
        <v>1.0133799999999999</v>
      </c>
      <c r="M95" s="375">
        <f t="shared" si="18"/>
        <v>0.76217049999999964</v>
      </c>
      <c r="N95" s="375">
        <f t="shared" si="18"/>
        <v>0.43517400000000039</v>
      </c>
      <c r="O95" s="375">
        <f t="shared" si="18"/>
        <v>0.92677199999999937</v>
      </c>
      <c r="P95" s="375">
        <f t="shared" si="18"/>
        <v>1.9260000000000017E-2</v>
      </c>
      <c r="Q95" s="375">
        <f t="shared" si="18"/>
        <v>0</v>
      </c>
      <c r="R95" s="375">
        <f t="shared" si="18"/>
        <v>0</v>
      </c>
      <c r="S95" s="375">
        <f t="shared" si="18"/>
        <v>0</v>
      </c>
      <c r="T95" s="375">
        <f t="shared" si="18"/>
        <v>0</v>
      </c>
      <c r="U95" s="375">
        <f t="shared" si="18"/>
        <v>0</v>
      </c>
      <c r="V95" s="375">
        <f t="shared" si="18"/>
        <v>0</v>
      </c>
      <c r="W95" s="375">
        <f t="shared" si="18"/>
        <v>0</v>
      </c>
      <c r="X95" s="375">
        <f t="shared" si="18"/>
        <v>0</v>
      </c>
      <c r="Y95" s="369"/>
    </row>
    <row r="96" spans="1:26" ht="13.5" thickBot="1" x14ac:dyDescent="0.25">
      <c r="A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</row>
    <row r="97" spans="1:26" ht="13.5" thickBot="1" x14ac:dyDescent="0.25">
      <c r="A97" s="361" t="s">
        <v>539</v>
      </c>
      <c r="B97" s="359">
        <f>ROW(A97)</f>
        <v>97</v>
      </c>
      <c r="C97" s="363" t="s">
        <v>116</v>
      </c>
      <c r="D97" s="353">
        <f>SUM(B100:Y100)</f>
        <v>39.923978000000005</v>
      </c>
      <c r="E97" s="363" t="s">
        <v>115</v>
      </c>
      <c r="F97" s="354">
        <f>D97/g/J97</f>
        <v>118.30588744280873</v>
      </c>
      <c r="G97" s="363" t="s">
        <v>57</v>
      </c>
      <c r="H97" s="64">
        <f>H92*2</f>
        <v>5.6399999999999999E-2</v>
      </c>
      <c r="I97" s="363" t="s">
        <v>270</v>
      </c>
      <c r="J97" s="355">
        <f>H97-L97</f>
        <v>3.44E-2</v>
      </c>
      <c r="K97" s="363" t="s">
        <v>271</v>
      </c>
      <c r="L97" s="64">
        <f>L92*2</f>
        <v>2.1999999999999999E-2</v>
      </c>
      <c r="M97" s="363" t="s">
        <v>58</v>
      </c>
      <c r="N97" s="65">
        <v>30</v>
      </c>
      <c r="O97" s="363" t="s">
        <v>60</v>
      </c>
      <c r="P97" s="65">
        <v>30</v>
      </c>
      <c r="Q97" s="363" t="s">
        <v>61</v>
      </c>
      <c r="R97" s="65">
        <v>70</v>
      </c>
      <c r="S97" s="363" t="s">
        <v>62</v>
      </c>
      <c r="T97" s="65">
        <v>30</v>
      </c>
      <c r="U97" s="363" t="s">
        <v>55</v>
      </c>
      <c r="V97" s="66" t="s">
        <v>401</v>
      </c>
      <c r="W97" s="463" t="s">
        <v>394</v>
      </c>
      <c r="X97" s="465">
        <v>2.1</v>
      </c>
      <c r="Y97" s="463" t="s">
        <v>393</v>
      </c>
      <c r="Z97" s="358">
        <v>7</v>
      </c>
    </row>
    <row r="98" spans="1:26" x14ac:dyDescent="0.2">
      <c r="A98" s="362" t="s">
        <v>33</v>
      </c>
      <c r="B98" s="370">
        <v>0</v>
      </c>
      <c r="C98" s="371">
        <f>C93</f>
        <v>0.04</v>
      </c>
      <c r="D98" s="371">
        <f t="shared" ref="D98:X98" si="19">D93</f>
        <v>0.11600000000000001</v>
      </c>
      <c r="E98" s="371">
        <f t="shared" si="19"/>
        <v>0.21299999999999999</v>
      </c>
      <c r="F98" s="371">
        <f t="shared" si="19"/>
        <v>0.28599999999999998</v>
      </c>
      <c r="G98" s="371">
        <f t="shared" si="19"/>
        <v>0.32900000000000001</v>
      </c>
      <c r="H98" s="371">
        <f t="shared" si="19"/>
        <v>0.36899999999999999</v>
      </c>
      <c r="I98" s="371">
        <f t="shared" si="19"/>
        <v>0.42</v>
      </c>
      <c r="J98" s="371">
        <f t="shared" si="19"/>
        <v>0.495</v>
      </c>
      <c r="K98" s="371">
        <f t="shared" si="19"/>
        <v>0.59699999999999998</v>
      </c>
      <c r="L98" s="371">
        <f t="shared" si="19"/>
        <v>1.7110000000000001</v>
      </c>
      <c r="M98" s="371">
        <f t="shared" si="19"/>
        <v>1.8260000000000001</v>
      </c>
      <c r="N98" s="371">
        <f t="shared" si="19"/>
        <v>1.917</v>
      </c>
      <c r="O98" s="371">
        <f t="shared" si="19"/>
        <v>1.9750000000000001</v>
      </c>
      <c r="P98" s="371">
        <f t="shared" si="19"/>
        <v>2.206</v>
      </c>
      <c r="Q98" s="371">
        <f t="shared" si="19"/>
        <v>2.242</v>
      </c>
      <c r="R98" s="371">
        <f t="shared" si="19"/>
        <v>2.5</v>
      </c>
      <c r="S98" s="371">
        <f>S93</f>
        <v>2.5</v>
      </c>
      <c r="T98" s="371">
        <f t="shared" si="19"/>
        <v>2.5</v>
      </c>
      <c r="U98" s="371">
        <f t="shared" si="19"/>
        <v>2.5</v>
      </c>
      <c r="V98" s="371">
        <f t="shared" si="19"/>
        <v>2.5</v>
      </c>
      <c r="W98" s="371">
        <f t="shared" si="19"/>
        <v>2.5</v>
      </c>
      <c r="X98" s="371">
        <f t="shared" si="19"/>
        <v>2.5</v>
      </c>
      <c r="Y98" s="381">
        <v>1000</v>
      </c>
    </row>
    <row r="99" spans="1:26" x14ac:dyDescent="0.2">
      <c r="A99" s="378" t="s">
        <v>34</v>
      </c>
      <c r="B99" s="372">
        <f>B94*2</f>
        <v>0</v>
      </c>
      <c r="C99" s="373">
        <f t="shared" ref="C99:X99" si="20">C94*2</f>
        <v>4.2220000000000004</v>
      </c>
      <c r="D99" s="373">
        <f t="shared" si="20"/>
        <v>19.37</v>
      </c>
      <c r="E99" s="373">
        <f t="shared" si="20"/>
        <v>50</v>
      </c>
      <c r="F99" s="373">
        <f t="shared" si="20"/>
        <v>31.475999999999999</v>
      </c>
      <c r="G99" s="373">
        <f t="shared" si="20"/>
        <v>24.943999999999999</v>
      </c>
      <c r="H99" s="373">
        <f t="shared" si="20"/>
        <v>21.34</v>
      </c>
      <c r="I99" s="373">
        <f t="shared" si="20"/>
        <v>19.425999999999998</v>
      </c>
      <c r="J99" s="373">
        <f t="shared" si="20"/>
        <v>18.356000000000002</v>
      </c>
      <c r="K99" s="373">
        <f t="shared" si="20"/>
        <v>17.792000000000002</v>
      </c>
      <c r="L99" s="373">
        <f t="shared" si="20"/>
        <v>17.850000000000001</v>
      </c>
      <c r="M99" s="373">
        <f t="shared" si="20"/>
        <v>17.398</v>
      </c>
      <c r="N99" s="373">
        <f t="shared" si="20"/>
        <v>16.103999999999999</v>
      </c>
      <c r="O99" s="373">
        <f t="shared" si="20"/>
        <v>13.907999999999999</v>
      </c>
      <c r="P99" s="373">
        <f t="shared" si="20"/>
        <v>2.14</v>
      </c>
      <c r="Q99" s="373">
        <f t="shared" si="20"/>
        <v>0</v>
      </c>
      <c r="R99" s="373">
        <f t="shared" si="20"/>
        <v>0</v>
      </c>
      <c r="S99" s="373">
        <f t="shared" si="20"/>
        <v>0</v>
      </c>
      <c r="T99" s="373">
        <f t="shared" si="20"/>
        <v>0</v>
      </c>
      <c r="U99" s="373">
        <f t="shared" si="20"/>
        <v>0</v>
      </c>
      <c r="V99" s="373">
        <f t="shared" si="20"/>
        <v>0</v>
      </c>
      <c r="W99" s="373">
        <f t="shared" si="20"/>
        <v>0</v>
      </c>
      <c r="X99" s="373">
        <f t="shared" si="20"/>
        <v>0</v>
      </c>
      <c r="Y99" s="382">
        <v>0</v>
      </c>
    </row>
    <row r="100" spans="1:26" ht="13.5" thickBot="1" x14ac:dyDescent="0.25">
      <c r="A100" s="379" t="s">
        <v>117</v>
      </c>
      <c r="B100" s="374">
        <f t="shared" ref="B100:X100" si="21">(C99+B99)*(C98-B98)/2</f>
        <v>8.4440000000000015E-2</v>
      </c>
      <c r="C100" s="375">
        <f t="shared" si="21"/>
        <v>0.89649600000000018</v>
      </c>
      <c r="D100" s="375">
        <f t="shared" si="21"/>
        <v>3.3644449999999999</v>
      </c>
      <c r="E100" s="375">
        <f t="shared" si="21"/>
        <v>2.973873999999999</v>
      </c>
      <c r="F100" s="375">
        <f t="shared" si="21"/>
        <v>1.2130300000000012</v>
      </c>
      <c r="G100" s="375">
        <f t="shared" si="21"/>
        <v>0.9256799999999995</v>
      </c>
      <c r="H100" s="375">
        <f t="shared" si="21"/>
        <v>1.0395329999999998</v>
      </c>
      <c r="I100" s="375">
        <f t="shared" si="21"/>
        <v>1.416825</v>
      </c>
      <c r="J100" s="375">
        <f t="shared" si="21"/>
        <v>1.8435479999999997</v>
      </c>
      <c r="K100" s="375">
        <f t="shared" si="21"/>
        <v>19.852594000000003</v>
      </c>
      <c r="L100" s="375">
        <f t="shared" si="21"/>
        <v>2.0267599999999999</v>
      </c>
      <c r="M100" s="375">
        <f t="shared" si="21"/>
        <v>1.5243409999999993</v>
      </c>
      <c r="N100" s="375">
        <f t="shared" si="21"/>
        <v>0.87034800000000079</v>
      </c>
      <c r="O100" s="375">
        <f t="shared" si="21"/>
        <v>1.8535439999999987</v>
      </c>
      <c r="P100" s="375">
        <f t="shared" si="21"/>
        <v>3.8520000000000033E-2</v>
      </c>
      <c r="Q100" s="375">
        <f t="shared" si="21"/>
        <v>0</v>
      </c>
      <c r="R100" s="375">
        <f t="shared" si="21"/>
        <v>0</v>
      </c>
      <c r="S100" s="375">
        <f t="shared" si="21"/>
        <v>0</v>
      </c>
      <c r="T100" s="375">
        <f t="shared" si="21"/>
        <v>0</v>
      </c>
      <c r="U100" s="375">
        <f t="shared" si="21"/>
        <v>0</v>
      </c>
      <c r="V100" s="375">
        <f t="shared" si="21"/>
        <v>0</v>
      </c>
      <c r="W100" s="375">
        <f t="shared" si="21"/>
        <v>0</v>
      </c>
      <c r="X100" s="375">
        <f t="shared" si="21"/>
        <v>0</v>
      </c>
      <c r="Y100" s="369"/>
    </row>
    <row r="101" spans="1:26" ht="13.5" thickBot="1" x14ac:dyDescent="0.25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</row>
    <row r="102" spans="1:26" ht="13.5" thickBot="1" x14ac:dyDescent="0.25">
      <c r="A102" s="361" t="s">
        <v>540</v>
      </c>
      <c r="B102" s="359">
        <f>ROW(A102)</f>
        <v>102</v>
      </c>
      <c r="C102" s="363" t="s">
        <v>116</v>
      </c>
      <c r="D102" s="353">
        <f>SUM(B105:Y105)</f>
        <v>59.885967000000008</v>
      </c>
      <c r="E102" s="363" t="s">
        <v>115</v>
      </c>
      <c r="F102" s="354">
        <f>D102/g/J102</f>
        <v>118.30588744280874</v>
      </c>
      <c r="G102" s="363" t="s">
        <v>57</v>
      </c>
      <c r="H102" s="64">
        <f>H92*3</f>
        <v>8.4599999999999995E-2</v>
      </c>
      <c r="I102" s="363" t="s">
        <v>270</v>
      </c>
      <c r="J102" s="355">
        <f>H102-L102</f>
        <v>5.1599999999999993E-2</v>
      </c>
      <c r="K102" s="363" t="s">
        <v>271</v>
      </c>
      <c r="L102" s="64">
        <f>L92*3</f>
        <v>3.3000000000000002E-2</v>
      </c>
      <c r="M102" s="363" t="s">
        <v>58</v>
      </c>
      <c r="N102" s="65">
        <v>30</v>
      </c>
      <c r="O102" s="363" t="s">
        <v>60</v>
      </c>
      <c r="P102" s="65">
        <v>30</v>
      </c>
      <c r="Q102" s="363" t="s">
        <v>61</v>
      </c>
      <c r="R102" s="65">
        <v>70</v>
      </c>
      <c r="S102" s="363" t="s">
        <v>62</v>
      </c>
      <c r="T102" s="65">
        <v>40</v>
      </c>
      <c r="U102" s="363" t="s">
        <v>55</v>
      </c>
      <c r="V102" s="66" t="s">
        <v>401</v>
      </c>
      <c r="W102" s="463" t="s">
        <v>394</v>
      </c>
      <c r="X102" s="465">
        <v>2.1</v>
      </c>
      <c r="Y102" s="463" t="s">
        <v>393</v>
      </c>
      <c r="Z102" s="358">
        <v>7</v>
      </c>
    </row>
    <row r="103" spans="1:26" x14ac:dyDescent="0.2">
      <c r="A103" s="362" t="s">
        <v>33</v>
      </c>
      <c r="B103" s="370">
        <v>0</v>
      </c>
      <c r="C103" s="371">
        <f>C93</f>
        <v>0.04</v>
      </c>
      <c r="D103" s="371">
        <f t="shared" ref="D103:X103" si="22">D93</f>
        <v>0.11600000000000001</v>
      </c>
      <c r="E103" s="371">
        <f t="shared" si="22"/>
        <v>0.21299999999999999</v>
      </c>
      <c r="F103" s="371">
        <f t="shared" si="22"/>
        <v>0.28599999999999998</v>
      </c>
      <c r="G103" s="371">
        <f t="shared" si="22"/>
        <v>0.32900000000000001</v>
      </c>
      <c r="H103" s="371">
        <f t="shared" si="22"/>
        <v>0.36899999999999999</v>
      </c>
      <c r="I103" s="371">
        <f t="shared" si="22"/>
        <v>0.42</v>
      </c>
      <c r="J103" s="371">
        <f t="shared" si="22"/>
        <v>0.495</v>
      </c>
      <c r="K103" s="371">
        <f t="shared" si="22"/>
        <v>0.59699999999999998</v>
      </c>
      <c r="L103" s="371">
        <f t="shared" si="22"/>
        <v>1.7110000000000001</v>
      </c>
      <c r="M103" s="371">
        <f t="shared" si="22"/>
        <v>1.8260000000000001</v>
      </c>
      <c r="N103" s="371">
        <f t="shared" si="22"/>
        <v>1.917</v>
      </c>
      <c r="O103" s="371">
        <f t="shared" si="22"/>
        <v>1.9750000000000001</v>
      </c>
      <c r="P103" s="371">
        <f t="shared" si="22"/>
        <v>2.206</v>
      </c>
      <c r="Q103" s="371">
        <f t="shared" si="22"/>
        <v>2.242</v>
      </c>
      <c r="R103" s="371">
        <f t="shared" si="22"/>
        <v>2.5</v>
      </c>
      <c r="S103" s="371">
        <f t="shared" si="22"/>
        <v>2.5</v>
      </c>
      <c r="T103" s="371">
        <f t="shared" si="22"/>
        <v>2.5</v>
      </c>
      <c r="U103" s="371">
        <f t="shared" si="22"/>
        <v>2.5</v>
      </c>
      <c r="V103" s="371">
        <f t="shared" si="22"/>
        <v>2.5</v>
      </c>
      <c r="W103" s="371">
        <f t="shared" si="22"/>
        <v>2.5</v>
      </c>
      <c r="X103" s="371">
        <f t="shared" si="22"/>
        <v>2.5</v>
      </c>
      <c r="Y103" s="381">
        <v>1000</v>
      </c>
    </row>
    <row r="104" spans="1:26" x14ac:dyDescent="0.2">
      <c r="A104" s="378" t="s">
        <v>34</v>
      </c>
      <c r="B104" s="372">
        <f>B94*3</f>
        <v>0</v>
      </c>
      <c r="C104" s="373">
        <f t="shared" ref="C104:X104" si="23">C94*3</f>
        <v>6.3330000000000002</v>
      </c>
      <c r="D104" s="373">
        <f t="shared" si="23"/>
        <v>29.055</v>
      </c>
      <c r="E104" s="373">
        <f t="shared" si="23"/>
        <v>75</v>
      </c>
      <c r="F104" s="373">
        <f t="shared" si="23"/>
        <v>47.213999999999999</v>
      </c>
      <c r="G104" s="373">
        <f t="shared" si="23"/>
        <v>37.415999999999997</v>
      </c>
      <c r="H104" s="373">
        <f t="shared" si="23"/>
        <v>32.01</v>
      </c>
      <c r="I104" s="373">
        <f t="shared" si="23"/>
        <v>29.138999999999996</v>
      </c>
      <c r="J104" s="373">
        <f t="shared" si="23"/>
        <v>27.534000000000002</v>
      </c>
      <c r="K104" s="373">
        <f t="shared" si="23"/>
        <v>26.688000000000002</v>
      </c>
      <c r="L104" s="373">
        <f t="shared" si="23"/>
        <v>26.775000000000002</v>
      </c>
      <c r="M104" s="373">
        <f t="shared" si="23"/>
        <v>26.097000000000001</v>
      </c>
      <c r="N104" s="373">
        <f t="shared" si="23"/>
        <v>24.155999999999999</v>
      </c>
      <c r="O104" s="373">
        <f t="shared" si="23"/>
        <v>20.861999999999998</v>
      </c>
      <c r="P104" s="373">
        <f t="shared" si="23"/>
        <v>3.21</v>
      </c>
      <c r="Q104" s="373">
        <f t="shared" si="23"/>
        <v>0</v>
      </c>
      <c r="R104" s="373">
        <f t="shared" si="23"/>
        <v>0</v>
      </c>
      <c r="S104" s="373">
        <f t="shared" si="23"/>
        <v>0</v>
      </c>
      <c r="T104" s="373">
        <f t="shared" si="23"/>
        <v>0</v>
      </c>
      <c r="U104" s="373">
        <f t="shared" si="23"/>
        <v>0</v>
      </c>
      <c r="V104" s="373">
        <f t="shared" si="23"/>
        <v>0</v>
      </c>
      <c r="W104" s="373">
        <f t="shared" si="23"/>
        <v>0</v>
      </c>
      <c r="X104" s="373">
        <f t="shared" si="23"/>
        <v>0</v>
      </c>
      <c r="Y104" s="382">
        <v>0</v>
      </c>
    </row>
    <row r="105" spans="1:26" ht="13.5" thickBot="1" x14ac:dyDescent="0.25">
      <c r="A105" s="379" t="s">
        <v>117</v>
      </c>
      <c r="B105" s="374">
        <f t="shared" ref="B105:X105" si="24">(C104+B104)*(C103-B103)/2</f>
        <v>0.12665999999999999</v>
      </c>
      <c r="C105" s="375">
        <f t="shared" si="24"/>
        <v>1.3447440000000002</v>
      </c>
      <c r="D105" s="375">
        <f t="shared" si="24"/>
        <v>5.0466674999999999</v>
      </c>
      <c r="E105" s="375">
        <f t="shared" si="24"/>
        <v>4.4608109999999987</v>
      </c>
      <c r="F105" s="375">
        <f t="shared" si="24"/>
        <v>1.8195450000000015</v>
      </c>
      <c r="G105" s="375">
        <f t="shared" si="24"/>
        <v>1.3885199999999991</v>
      </c>
      <c r="H105" s="375">
        <f t="shared" si="24"/>
        <v>1.5592994999999996</v>
      </c>
      <c r="I105" s="375">
        <f t="shared" si="24"/>
        <v>2.1252375000000003</v>
      </c>
      <c r="J105" s="375">
        <f t="shared" si="24"/>
        <v>2.7653219999999998</v>
      </c>
      <c r="K105" s="375">
        <f t="shared" si="24"/>
        <v>29.778891000000009</v>
      </c>
      <c r="L105" s="375">
        <f t="shared" si="24"/>
        <v>3.0401399999999996</v>
      </c>
      <c r="M105" s="375">
        <f t="shared" si="24"/>
        <v>2.2865114999999991</v>
      </c>
      <c r="N105" s="375">
        <f t="shared" si="24"/>
        <v>1.3055220000000012</v>
      </c>
      <c r="O105" s="375">
        <f t="shared" si="24"/>
        <v>2.7803159999999982</v>
      </c>
      <c r="P105" s="375">
        <f t="shared" si="24"/>
        <v>5.7780000000000054E-2</v>
      </c>
      <c r="Q105" s="375">
        <f t="shared" si="24"/>
        <v>0</v>
      </c>
      <c r="R105" s="375">
        <f t="shared" si="24"/>
        <v>0</v>
      </c>
      <c r="S105" s="375">
        <f t="shared" si="24"/>
        <v>0</v>
      </c>
      <c r="T105" s="375">
        <f t="shared" si="24"/>
        <v>0</v>
      </c>
      <c r="U105" s="375">
        <f t="shared" si="24"/>
        <v>0</v>
      </c>
      <c r="V105" s="375">
        <f t="shared" si="24"/>
        <v>0</v>
      </c>
      <c r="W105" s="375">
        <f t="shared" si="24"/>
        <v>0</v>
      </c>
      <c r="X105" s="375">
        <f t="shared" si="24"/>
        <v>0</v>
      </c>
      <c r="Y105" s="369"/>
    </row>
    <row r="107" spans="1:26" ht="13.5" thickBot="1" x14ac:dyDescent="0.25">
      <c r="A107" s="6" t="s">
        <v>316</v>
      </c>
    </row>
    <row r="108" spans="1:26" ht="13.5" thickBot="1" x14ac:dyDescent="0.25">
      <c r="A108" s="361" t="s">
        <v>319</v>
      </c>
      <c r="B108" s="359">
        <f>ROW(A108)</f>
        <v>108</v>
      </c>
      <c r="C108" s="363" t="s">
        <v>116</v>
      </c>
      <c r="D108" s="353">
        <f>SUM(B111:Y111)</f>
        <v>24.269519000000003</v>
      </c>
      <c r="E108" s="363" t="s">
        <v>115</v>
      </c>
      <c r="F108" s="354">
        <f>D108/g/J108</f>
        <v>154.62231778797147</v>
      </c>
      <c r="G108" s="363" t="s">
        <v>57</v>
      </c>
      <c r="H108" s="64">
        <v>5.1999999999999998E-2</v>
      </c>
      <c r="I108" s="363" t="s">
        <v>270</v>
      </c>
      <c r="J108" s="355">
        <f>H108-L108</f>
        <v>1.6E-2</v>
      </c>
      <c r="K108" s="363" t="s">
        <v>271</v>
      </c>
      <c r="L108" s="64">
        <v>3.5999999999999997E-2</v>
      </c>
      <c r="M108" s="363" t="s">
        <v>58</v>
      </c>
      <c r="N108" s="396">
        <v>35</v>
      </c>
      <c r="O108" s="363" t="s">
        <v>60</v>
      </c>
      <c r="P108" s="396">
        <v>35</v>
      </c>
      <c r="Q108" s="363" t="s">
        <v>61</v>
      </c>
      <c r="R108" s="65">
        <v>69</v>
      </c>
      <c r="S108" s="363" t="s">
        <v>62</v>
      </c>
      <c r="T108" s="65">
        <v>24</v>
      </c>
      <c r="U108" s="363" t="s">
        <v>55</v>
      </c>
      <c r="V108" s="66" t="s">
        <v>399</v>
      </c>
      <c r="W108" s="463" t="s">
        <v>394</v>
      </c>
      <c r="X108" s="465">
        <v>1</v>
      </c>
      <c r="Y108" s="463" t="s">
        <v>393</v>
      </c>
      <c r="Z108" s="358">
        <v>13</v>
      </c>
    </row>
    <row r="109" spans="1:26" x14ac:dyDescent="0.2">
      <c r="A109" s="362" t="s">
        <v>33</v>
      </c>
      <c r="B109" s="370">
        <v>0</v>
      </c>
      <c r="C109" s="371">
        <v>8.0000000000000002E-3</v>
      </c>
      <c r="D109" s="371">
        <v>2.5999999999999999E-2</v>
      </c>
      <c r="E109" s="371">
        <v>3.7999999999999999E-2</v>
      </c>
      <c r="F109" s="371">
        <v>6.7000000000000004E-2</v>
      </c>
      <c r="G109" s="371">
        <v>0.10100000000000001</v>
      </c>
      <c r="H109" s="371">
        <v>0.33</v>
      </c>
      <c r="I109" s="371">
        <v>0.52800000000000002</v>
      </c>
      <c r="J109" s="371">
        <v>0.71599999999999997</v>
      </c>
      <c r="K109" s="371">
        <v>0.84099999999999997</v>
      </c>
      <c r="L109" s="371">
        <v>0.91200000000000003</v>
      </c>
      <c r="M109" s="371">
        <v>0.98699999999999999</v>
      </c>
      <c r="N109" s="371">
        <v>1.016</v>
      </c>
      <c r="O109" s="371">
        <v>1.0649999999999999</v>
      </c>
      <c r="P109" s="371">
        <v>1.087</v>
      </c>
      <c r="Q109" s="371">
        <v>2</v>
      </c>
      <c r="R109" s="371">
        <v>2</v>
      </c>
      <c r="S109" s="371">
        <v>2</v>
      </c>
      <c r="T109" s="371">
        <v>2</v>
      </c>
      <c r="U109" s="371">
        <v>2</v>
      </c>
      <c r="V109" s="371">
        <v>2</v>
      </c>
      <c r="W109" s="371">
        <v>2</v>
      </c>
      <c r="X109" s="371">
        <v>2</v>
      </c>
      <c r="Y109" s="381">
        <v>1000</v>
      </c>
    </row>
    <row r="110" spans="1:26" x14ac:dyDescent="0.2">
      <c r="A110" s="378" t="s">
        <v>34</v>
      </c>
      <c r="B110" s="372">
        <v>0</v>
      </c>
      <c r="C110" s="373">
        <v>18.292000000000002</v>
      </c>
      <c r="D110" s="373">
        <v>30</v>
      </c>
      <c r="E110" s="373">
        <v>30.792000000000002</v>
      </c>
      <c r="F110" s="373">
        <v>18.707999999999998</v>
      </c>
      <c r="G110" s="373">
        <v>21.875</v>
      </c>
      <c r="H110" s="373">
        <v>26.082999999999998</v>
      </c>
      <c r="I110" s="373">
        <v>28.042000000000002</v>
      </c>
      <c r="J110" s="373">
        <v>27.875</v>
      </c>
      <c r="K110" s="373">
        <v>23.542000000000002</v>
      </c>
      <c r="L110" s="373">
        <v>17.832999999999998</v>
      </c>
      <c r="M110" s="373">
        <v>7</v>
      </c>
      <c r="N110" s="373">
        <v>3.3330000000000002</v>
      </c>
      <c r="O110" s="373">
        <v>1.083</v>
      </c>
      <c r="P110" s="373">
        <v>0</v>
      </c>
      <c r="Q110" s="373">
        <v>0</v>
      </c>
      <c r="R110" s="373">
        <v>0</v>
      </c>
      <c r="S110" s="373">
        <v>0</v>
      </c>
      <c r="T110" s="373">
        <f>S110</f>
        <v>0</v>
      </c>
      <c r="U110" s="373">
        <f>T110</f>
        <v>0</v>
      </c>
      <c r="V110" s="373">
        <f>U110</f>
        <v>0</v>
      </c>
      <c r="W110" s="373">
        <f>V110</f>
        <v>0</v>
      </c>
      <c r="X110" s="373">
        <f>W110</f>
        <v>0</v>
      </c>
      <c r="Y110" s="382">
        <v>0</v>
      </c>
    </row>
    <row r="111" spans="1:26" ht="13.5" thickBot="1" x14ac:dyDescent="0.25">
      <c r="A111" s="379" t="s">
        <v>117</v>
      </c>
      <c r="B111" s="374">
        <f t="shared" ref="B111:V111" si="25">(C110+B110)*(C109-B109)/2</f>
        <v>7.3168000000000011E-2</v>
      </c>
      <c r="C111" s="375">
        <f t="shared" si="25"/>
        <v>0.43462799999999996</v>
      </c>
      <c r="D111" s="375">
        <f t="shared" si="25"/>
        <v>0.36475200000000002</v>
      </c>
      <c r="E111" s="375">
        <f t="shared" si="25"/>
        <v>0.71775000000000011</v>
      </c>
      <c r="F111" s="375">
        <f t="shared" si="25"/>
        <v>0.68991100000000005</v>
      </c>
      <c r="G111" s="375">
        <f t="shared" si="25"/>
        <v>5.4911909999999997</v>
      </c>
      <c r="H111" s="375">
        <f t="shared" si="25"/>
        <v>5.3583750000000006</v>
      </c>
      <c r="I111" s="375">
        <f t="shared" si="25"/>
        <v>5.2561979999999986</v>
      </c>
      <c r="J111" s="375">
        <f>(K110+J110)*(K109-J109)/2</f>
        <v>3.2135625000000001</v>
      </c>
      <c r="K111" s="375">
        <f t="shared" si="25"/>
        <v>1.4688125000000014</v>
      </c>
      <c r="L111" s="375">
        <f t="shared" si="25"/>
        <v>0.93123749999999939</v>
      </c>
      <c r="M111" s="375">
        <f t="shared" si="25"/>
        <v>0.14982850000000014</v>
      </c>
      <c r="N111" s="375">
        <f t="shared" si="25"/>
        <v>0.10819199999999986</v>
      </c>
      <c r="O111" s="375">
        <f t="shared" si="25"/>
        <v>1.191300000000001E-2</v>
      </c>
      <c r="P111" s="375">
        <f t="shared" si="25"/>
        <v>0</v>
      </c>
      <c r="Q111" s="375">
        <f t="shared" si="25"/>
        <v>0</v>
      </c>
      <c r="R111" s="375">
        <f t="shared" si="25"/>
        <v>0</v>
      </c>
      <c r="S111" s="375">
        <f>(T110+S110)*(T109-S109)/2</f>
        <v>0</v>
      </c>
      <c r="T111" s="375">
        <f t="shared" si="25"/>
        <v>0</v>
      </c>
      <c r="U111" s="375">
        <f t="shared" si="25"/>
        <v>0</v>
      </c>
      <c r="V111" s="375">
        <f t="shared" si="25"/>
        <v>0</v>
      </c>
      <c r="W111" s="375">
        <f>(X110+W110)*(X109-W109)/2</f>
        <v>0</v>
      </c>
      <c r="X111" s="375">
        <f>(Y110+X110)*(Y109-X109)/2</f>
        <v>0</v>
      </c>
      <c r="Y111" s="369"/>
    </row>
    <row r="112" spans="1:26" ht="13.5" thickBot="1" x14ac:dyDescent="0.25"/>
    <row r="113" spans="1:26" ht="13.5" thickBot="1" x14ac:dyDescent="0.25">
      <c r="A113" s="361" t="s">
        <v>417</v>
      </c>
      <c r="B113" s="359">
        <f>ROW(A113)</f>
        <v>113</v>
      </c>
      <c r="C113" s="363" t="s">
        <v>116</v>
      </c>
      <c r="D113" s="353">
        <f>SUM(B116:Y116)</f>
        <v>24.488898000000002</v>
      </c>
      <c r="E113" s="363" t="s">
        <v>115</v>
      </c>
      <c r="F113" s="354">
        <f>D113/g/J113</f>
        <v>121.771701350041</v>
      </c>
      <c r="G113" s="363" t="s">
        <v>57</v>
      </c>
      <c r="H113" s="64">
        <v>5.6500000000000002E-2</v>
      </c>
      <c r="I113" s="363" t="s">
        <v>270</v>
      </c>
      <c r="J113" s="355">
        <f>H113-L113</f>
        <v>2.0500000000000004E-2</v>
      </c>
      <c r="K113" s="363" t="s">
        <v>271</v>
      </c>
      <c r="L113" s="64">
        <v>3.5999999999999997E-2</v>
      </c>
      <c r="M113" s="363" t="s">
        <v>58</v>
      </c>
      <c r="N113" s="396">
        <v>35</v>
      </c>
      <c r="O113" s="363" t="s">
        <v>60</v>
      </c>
      <c r="P113" s="396">
        <v>35</v>
      </c>
      <c r="Q113" s="363" t="s">
        <v>61</v>
      </c>
      <c r="R113" s="65">
        <v>69</v>
      </c>
      <c r="S113" s="363" t="s">
        <v>62</v>
      </c>
      <c r="T113" s="65">
        <v>24</v>
      </c>
      <c r="U113" s="363" t="s">
        <v>55</v>
      </c>
      <c r="V113" s="66" t="s">
        <v>400</v>
      </c>
      <c r="W113" s="463" t="s">
        <v>394</v>
      </c>
      <c r="X113" s="465">
        <v>0.33</v>
      </c>
      <c r="Y113" s="463" t="s">
        <v>393</v>
      </c>
      <c r="Z113" s="358">
        <v>17</v>
      </c>
    </row>
    <row r="114" spans="1:26" x14ac:dyDescent="0.2">
      <c r="A114" s="362" t="s">
        <v>33</v>
      </c>
      <c r="B114" s="370">
        <v>0</v>
      </c>
      <c r="C114" s="371">
        <v>8.9999999999999993E-3</v>
      </c>
      <c r="D114" s="371">
        <v>1.2E-2</v>
      </c>
      <c r="E114" s="371">
        <v>2.3E-2</v>
      </c>
      <c r="F114" s="371">
        <v>2.7E-2</v>
      </c>
      <c r="G114" s="371">
        <v>4.7E-2</v>
      </c>
      <c r="H114" s="371">
        <v>9.1999999999999998E-2</v>
      </c>
      <c r="I114" s="371">
        <v>0.11799999999999999</v>
      </c>
      <c r="J114" s="371">
        <v>0.14099999999999999</v>
      </c>
      <c r="K114" s="371">
        <v>0.192</v>
      </c>
      <c r="L114" s="371">
        <v>0.222</v>
      </c>
      <c r="M114" s="371">
        <v>0.25</v>
      </c>
      <c r="N114" s="371">
        <v>0.26</v>
      </c>
      <c r="O114" s="371">
        <v>0.28100000000000003</v>
      </c>
      <c r="P114" s="371">
        <v>0.28699999999999998</v>
      </c>
      <c r="Q114" s="371">
        <v>0.30599999999999999</v>
      </c>
      <c r="R114" s="371">
        <v>0.314</v>
      </c>
      <c r="S114" s="371">
        <v>0.32600000000000001</v>
      </c>
      <c r="T114" s="371">
        <v>0.32900000000000001</v>
      </c>
      <c r="U114" s="371">
        <v>0.5</v>
      </c>
      <c r="V114" s="371">
        <v>1</v>
      </c>
      <c r="W114" s="371">
        <v>2</v>
      </c>
      <c r="X114" s="371">
        <v>2</v>
      </c>
      <c r="Y114" s="381">
        <v>1000</v>
      </c>
    </row>
    <row r="115" spans="1:26" x14ac:dyDescent="0.2">
      <c r="A115" s="378" t="s">
        <v>34</v>
      </c>
      <c r="B115" s="372">
        <v>0</v>
      </c>
      <c r="C115" s="373">
        <v>84.212999999999994</v>
      </c>
      <c r="D115" s="373">
        <v>95.099000000000004</v>
      </c>
      <c r="E115" s="373">
        <v>77.08</v>
      </c>
      <c r="F115" s="373">
        <v>68.697000000000003</v>
      </c>
      <c r="G115" s="373">
        <v>73.451999999999998</v>
      </c>
      <c r="H115" s="373">
        <v>81.834999999999994</v>
      </c>
      <c r="I115" s="373">
        <v>83.837000000000003</v>
      </c>
      <c r="J115" s="373">
        <v>86.465000000000003</v>
      </c>
      <c r="K115" s="373">
        <v>86.965999999999994</v>
      </c>
      <c r="L115" s="373">
        <v>85.338999999999999</v>
      </c>
      <c r="M115" s="373">
        <v>80.082999999999998</v>
      </c>
      <c r="N115" s="373">
        <v>78.331999999999994</v>
      </c>
      <c r="O115" s="373">
        <v>82.960999999999999</v>
      </c>
      <c r="P115" s="373">
        <v>78.206000000000003</v>
      </c>
      <c r="Q115" s="373">
        <v>24.776</v>
      </c>
      <c r="R115" s="373">
        <v>14.14</v>
      </c>
      <c r="S115" s="373">
        <v>8.5090000000000003</v>
      </c>
      <c r="T115" s="373">
        <v>0</v>
      </c>
      <c r="U115" s="373">
        <f>T115</f>
        <v>0</v>
      </c>
      <c r="V115" s="373">
        <f>U115</f>
        <v>0</v>
      </c>
      <c r="W115" s="373">
        <f>V115</f>
        <v>0</v>
      </c>
      <c r="X115" s="373">
        <f>W115</f>
        <v>0</v>
      </c>
      <c r="Y115" s="382">
        <v>0</v>
      </c>
    </row>
    <row r="116" spans="1:26" ht="13.5" thickBot="1" x14ac:dyDescent="0.25">
      <c r="A116" s="379" t="s">
        <v>117</v>
      </c>
      <c r="B116" s="374">
        <f t="shared" ref="B116:V116" si="26">(C115+B115)*(C114-B114)/2</f>
        <v>0.37895849999999992</v>
      </c>
      <c r="C116" s="375">
        <f t="shared" si="26"/>
        <v>0.2689680000000001</v>
      </c>
      <c r="D116" s="375">
        <f t="shared" si="26"/>
        <v>0.94698450000000001</v>
      </c>
      <c r="E116" s="375">
        <f t="shared" si="26"/>
        <v>0.29155399999999998</v>
      </c>
      <c r="F116" s="375">
        <f t="shared" si="26"/>
        <v>1.4214900000000001</v>
      </c>
      <c r="G116" s="375">
        <f t="shared" si="26"/>
        <v>3.4939574999999992</v>
      </c>
      <c r="H116" s="375">
        <f t="shared" si="26"/>
        <v>2.1537359999999994</v>
      </c>
      <c r="I116" s="375">
        <f t="shared" si="26"/>
        <v>1.9584729999999997</v>
      </c>
      <c r="J116" s="375">
        <f>(K115+J115)*(K114-J114)/2</f>
        <v>4.4224905000000012</v>
      </c>
      <c r="K116" s="375">
        <f t="shared" si="26"/>
        <v>2.5845750000000001</v>
      </c>
      <c r="L116" s="375">
        <f t="shared" si="26"/>
        <v>2.3159079999999999</v>
      </c>
      <c r="M116" s="375">
        <f t="shared" si="26"/>
        <v>0.79207500000000064</v>
      </c>
      <c r="N116" s="375">
        <f t="shared" si="26"/>
        <v>1.6935765000000016</v>
      </c>
      <c r="O116" s="375">
        <f t="shared" si="26"/>
        <v>0.48350099999999596</v>
      </c>
      <c r="P116" s="375">
        <f t="shared" si="26"/>
        <v>0.97832900000000089</v>
      </c>
      <c r="Q116" s="375">
        <f t="shared" si="26"/>
        <v>0.15566400000000014</v>
      </c>
      <c r="R116" s="375">
        <f t="shared" si="26"/>
        <v>0.13589400000000013</v>
      </c>
      <c r="S116" s="375">
        <f>(T115+S115)*(T114-S114)/2</f>
        <v>1.2763500000000013E-2</v>
      </c>
      <c r="T116" s="375">
        <f t="shared" si="26"/>
        <v>0</v>
      </c>
      <c r="U116" s="375">
        <f t="shared" si="26"/>
        <v>0</v>
      </c>
      <c r="V116" s="375">
        <f t="shared" si="26"/>
        <v>0</v>
      </c>
      <c r="W116" s="375">
        <f>(X115+W115)*(X114-W114)/2</f>
        <v>0</v>
      </c>
      <c r="X116" s="375">
        <f>(Y115+X115)*(Y114-X114)/2</f>
        <v>0</v>
      </c>
      <c r="Y116" s="369"/>
    </row>
    <row r="117" spans="1:26" ht="13.5" thickBot="1" x14ac:dyDescent="0.25"/>
    <row r="118" spans="1:26" ht="13.5" thickBot="1" x14ac:dyDescent="0.25">
      <c r="A118" s="361" t="s">
        <v>320</v>
      </c>
      <c r="B118" s="359">
        <f>ROW(A118)</f>
        <v>118</v>
      </c>
      <c r="C118" s="363" t="s">
        <v>116</v>
      </c>
      <c r="D118" s="353">
        <f>SUM(B121:Y121)</f>
        <v>26.083982500000001</v>
      </c>
      <c r="E118" s="363" t="s">
        <v>115</v>
      </c>
      <c r="F118" s="354">
        <f>D118/g/J118</f>
        <v>166.18235537716615</v>
      </c>
      <c r="G118" s="363" t="s">
        <v>57</v>
      </c>
      <c r="H118" s="64">
        <v>5.1999999999999998E-2</v>
      </c>
      <c r="I118" s="363" t="s">
        <v>270</v>
      </c>
      <c r="J118" s="355">
        <f>H118-L118</f>
        <v>1.6E-2</v>
      </c>
      <c r="K118" s="363" t="s">
        <v>271</v>
      </c>
      <c r="L118" s="64">
        <v>3.5999999999999997E-2</v>
      </c>
      <c r="M118" s="363" t="s">
        <v>58</v>
      </c>
      <c r="N118" s="396">
        <v>35</v>
      </c>
      <c r="O118" s="363" t="s">
        <v>60</v>
      </c>
      <c r="P118" s="396">
        <v>35</v>
      </c>
      <c r="Q118" s="363" t="s">
        <v>61</v>
      </c>
      <c r="R118" s="65">
        <v>69</v>
      </c>
      <c r="S118" s="363" t="s">
        <v>62</v>
      </c>
      <c r="T118" s="65">
        <v>24</v>
      </c>
      <c r="U118" s="363" t="s">
        <v>55</v>
      </c>
      <c r="V118" s="66" t="s">
        <v>399</v>
      </c>
      <c r="W118" s="463" t="s">
        <v>394</v>
      </c>
      <c r="X118" s="465">
        <v>0.85</v>
      </c>
      <c r="Y118" s="463" t="s">
        <v>393</v>
      </c>
      <c r="Z118" s="358">
        <v>15</v>
      </c>
    </row>
    <row r="119" spans="1:26" x14ac:dyDescent="0.2">
      <c r="A119" s="362" t="s">
        <v>33</v>
      </c>
      <c r="B119" s="370">
        <v>0</v>
      </c>
      <c r="C119" s="371">
        <v>0.02</v>
      </c>
      <c r="D119" s="371">
        <v>2.7E-2</v>
      </c>
      <c r="E119" s="371">
        <v>4.9000000000000002E-2</v>
      </c>
      <c r="F119" s="371">
        <v>0.113</v>
      </c>
      <c r="G119" s="371">
        <v>0.193</v>
      </c>
      <c r="H119" s="371">
        <v>0.28199999999999997</v>
      </c>
      <c r="I119" s="371">
        <v>0.5</v>
      </c>
      <c r="J119" s="371">
        <v>0.72699999999999998</v>
      </c>
      <c r="K119" s="371">
        <v>0.77100000000000002</v>
      </c>
      <c r="L119" s="371">
        <v>0.80700000000000005</v>
      </c>
      <c r="M119" s="371">
        <v>0.84</v>
      </c>
      <c r="N119" s="371">
        <v>0.87</v>
      </c>
      <c r="O119" s="371">
        <v>1</v>
      </c>
      <c r="P119" s="371">
        <v>1</v>
      </c>
      <c r="Q119" s="371">
        <v>1</v>
      </c>
      <c r="R119" s="371">
        <v>1</v>
      </c>
      <c r="S119" s="371">
        <v>1</v>
      </c>
      <c r="T119" s="371">
        <v>1</v>
      </c>
      <c r="U119" s="371">
        <v>1</v>
      </c>
      <c r="V119" s="371">
        <v>1</v>
      </c>
      <c r="W119" s="371">
        <v>1</v>
      </c>
      <c r="X119" s="371">
        <v>2</v>
      </c>
      <c r="Y119" s="381">
        <v>1000</v>
      </c>
    </row>
    <row r="120" spans="1:26" x14ac:dyDescent="0.2">
      <c r="A120" s="378" t="s">
        <v>34</v>
      </c>
      <c r="B120" s="372">
        <v>0</v>
      </c>
      <c r="C120" s="373">
        <v>43.823999999999998</v>
      </c>
      <c r="D120" s="373">
        <v>39.963999999999999</v>
      </c>
      <c r="E120" s="373">
        <v>26.780999999999999</v>
      </c>
      <c r="F120" s="373">
        <v>32.600999999999999</v>
      </c>
      <c r="G120" s="373">
        <v>34.738999999999997</v>
      </c>
      <c r="H120" s="373">
        <v>35.808</v>
      </c>
      <c r="I120" s="373">
        <v>34.442</v>
      </c>
      <c r="J120" s="373">
        <v>29.276</v>
      </c>
      <c r="K120" s="373">
        <v>22.742999999999999</v>
      </c>
      <c r="L120" s="373">
        <v>9.5609999999999999</v>
      </c>
      <c r="M120" s="373">
        <v>3.5630000000000002</v>
      </c>
      <c r="N120" s="373">
        <v>0</v>
      </c>
      <c r="O120" s="373">
        <v>0</v>
      </c>
      <c r="P120" s="373">
        <v>0</v>
      </c>
      <c r="Q120" s="373">
        <v>0</v>
      </c>
      <c r="R120" s="373">
        <v>0</v>
      </c>
      <c r="S120" s="373">
        <v>0</v>
      </c>
      <c r="T120" s="373">
        <f>S120</f>
        <v>0</v>
      </c>
      <c r="U120" s="373">
        <f>T120</f>
        <v>0</v>
      </c>
      <c r="V120" s="373">
        <f>U120</f>
        <v>0</v>
      </c>
      <c r="W120" s="373">
        <f>V120</f>
        <v>0</v>
      </c>
      <c r="X120" s="373">
        <f>W120</f>
        <v>0</v>
      </c>
      <c r="Y120" s="382">
        <v>0</v>
      </c>
    </row>
    <row r="121" spans="1:26" ht="13.5" thickBot="1" x14ac:dyDescent="0.25">
      <c r="A121" s="379" t="s">
        <v>117</v>
      </c>
      <c r="B121" s="374">
        <f t="shared" ref="B121:V121" si="27">(C120+B120)*(C119-B119)/2</f>
        <v>0.43823999999999996</v>
      </c>
      <c r="C121" s="375">
        <f t="shared" si="27"/>
        <v>0.29325799999999996</v>
      </c>
      <c r="D121" s="375">
        <f t="shared" si="27"/>
        <v>0.73419500000000015</v>
      </c>
      <c r="E121" s="375">
        <f t="shared" si="27"/>
        <v>1.9002239999999999</v>
      </c>
      <c r="F121" s="375">
        <f t="shared" si="27"/>
        <v>2.6936</v>
      </c>
      <c r="G121" s="375">
        <f t="shared" si="27"/>
        <v>3.1393414999999987</v>
      </c>
      <c r="H121" s="375">
        <f t="shared" si="27"/>
        <v>7.6572500000000012</v>
      </c>
      <c r="I121" s="375">
        <f t="shared" si="27"/>
        <v>7.2319930000000001</v>
      </c>
      <c r="J121" s="375">
        <f>(K120+J120)*(K119-J119)/2</f>
        <v>1.144418000000001</v>
      </c>
      <c r="K121" s="375">
        <f t="shared" si="27"/>
        <v>0.58147200000000054</v>
      </c>
      <c r="L121" s="375">
        <f t="shared" si="27"/>
        <v>0.21654599999999946</v>
      </c>
      <c r="M121" s="375">
        <f t="shared" si="27"/>
        <v>5.3445000000000048E-2</v>
      </c>
      <c r="N121" s="375">
        <f t="shared" si="27"/>
        <v>0</v>
      </c>
      <c r="O121" s="375">
        <f t="shared" si="27"/>
        <v>0</v>
      </c>
      <c r="P121" s="375">
        <f t="shared" si="27"/>
        <v>0</v>
      </c>
      <c r="Q121" s="375">
        <f t="shared" si="27"/>
        <v>0</v>
      </c>
      <c r="R121" s="375">
        <f t="shared" si="27"/>
        <v>0</v>
      </c>
      <c r="S121" s="375">
        <f>(T120+S120)*(T119-S119)/2</f>
        <v>0</v>
      </c>
      <c r="T121" s="375">
        <f t="shared" si="27"/>
        <v>0</v>
      </c>
      <c r="U121" s="375">
        <f t="shared" si="27"/>
        <v>0</v>
      </c>
      <c r="V121" s="375">
        <f t="shared" si="27"/>
        <v>0</v>
      </c>
      <c r="W121" s="375">
        <f>(X120+W120)*(X119-W119)/2</f>
        <v>0</v>
      </c>
      <c r="X121" s="375">
        <f>(Y120+X120)*(Y119-X119)/2</f>
        <v>0</v>
      </c>
      <c r="Y121" s="369"/>
    </row>
    <row r="122" spans="1:26" ht="13.5" thickBot="1" x14ac:dyDescent="0.25">
      <c r="A122" s="6" t="s">
        <v>389</v>
      </c>
    </row>
    <row r="123" spans="1:26" ht="13.5" thickBot="1" x14ac:dyDescent="0.25">
      <c r="A123" s="361" t="s">
        <v>390</v>
      </c>
      <c r="B123" s="359">
        <f>ROW(A123)</f>
        <v>123</v>
      </c>
      <c r="C123" s="363" t="s">
        <v>116</v>
      </c>
      <c r="D123" s="353">
        <f>SUM(B126:Y126)</f>
        <v>49.788765499999997</v>
      </c>
      <c r="E123" s="363" t="s">
        <v>115</v>
      </c>
      <c r="F123" s="354">
        <v>231</v>
      </c>
      <c r="G123" s="363" t="s">
        <v>57</v>
      </c>
      <c r="H123" s="64">
        <v>7.2999999999999995E-2</v>
      </c>
      <c r="I123" s="363" t="s">
        <v>270</v>
      </c>
      <c r="J123" s="355">
        <f>H123-L123</f>
        <v>2.7999999999999997E-2</v>
      </c>
      <c r="K123" s="363" t="s">
        <v>271</v>
      </c>
      <c r="L123" s="64">
        <v>4.4999999999999998E-2</v>
      </c>
      <c r="M123" s="363" t="s">
        <v>58</v>
      </c>
      <c r="N123" s="396">
        <v>50</v>
      </c>
      <c r="O123" s="363" t="s">
        <v>60</v>
      </c>
      <c r="P123" s="396">
        <v>50</v>
      </c>
      <c r="Q123" s="363" t="s">
        <v>61</v>
      </c>
      <c r="R123" s="65">
        <v>101</v>
      </c>
      <c r="S123" s="363" t="s">
        <v>62</v>
      </c>
      <c r="T123" s="65">
        <v>24</v>
      </c>
      <c r="U123" s="363" t="s">
        <v>55</v>
      </c>
      <c r="V123" s="66" t="s">
        <v>120</v>
      </c>
      <c r="W123" s="463" t="s">
        <v>394</v>
      </c>
      <c r="X123" s="465">
        <v>1</v>
      </c>
      <c r="Y123" s="463" t="s">
        <v>393</v>
      </c>
      <c r="Z123" s="358">
        <v>13</v>
      </c>
    </row>
    <row r="124" spans="1:26" x14ac:dyDescent="0.2">
      <c r="A124" s="362" t="s">
        <v>33</v>
      </c>
      <c r="B124" s="471">
        <v>0</v>
      </c>
      <c r="C124" s="471">
        <v>1E-3</v>
      </c>
      <c r="D124" s="471">
        <v>2.7E-2</v>
      </c>
      <c r="E124" s="471">
        <v>5.0999999999999997E-2</v>
      </c>
      <c r="F124" s="471">
        <v>0.06</v>
      </c>
      <c r="G124" s="471">
        <v>9.1999999999999998E-2</v>
      </c>
      <c r="H124" s="471">
        <v>0.11899999999999999</v>
      </c>
      <c r="I124" s="471">
        <v>0.17</v>
      </c>
      <c r="J124" s="471">
        <v>0.3</v>
      </c>
      <c r="K124" s="471">
        <v>0.46200000000000002</v>
      </c>
      <c r="L124" s="471">
        <v>0.56899999999999995</v>
      </c>
      <c r="M124" s="471">
        <v>0.67500000000000004</v>
      </c>
      <c r="N124" s="471">
        <v>0.77800000000000002</v>
      </c>
      <c r="O124" s="471">
        <v>0.84599999999999997</v>
      </c>
      <c r="P124" s="471">
        <v>0.91700000000000004</v>
      </c>
      <c r="Q124" s="471">
        <v>1.0089999999999999</v>
      </c>
      <c r="R124" s="471">
        <v>1.032</v>
      </c>
      <c r="S124" s="471">
        <v>1.0449999999999999</v>
      </c>
      <c r="T124" s="371">
        <v>2</v>
      </c>
      <c r="U124" s="371">
        <v>2</v>
      </c>
      <c r="V124" s="371">
        <v>2</v>
      </c>
      <c r="W124" s="371">
        <v>2</v>
      </c>
      <c r="X124" s="371">
        <v>2</v>
      </c>
      <c r="Y124" s="381">
        <v>1000</v>
      </c>
    </row>
    <row r="125" spans="1:26" x14ac:dyDescent="0.2">
      <c r="A125" s="378" t="s">
        <v>34</v>
      </c>
      <c r="B125" s="471">
        <v>0</v>
      </c>
      <c r="C125" s="471">
        <v>5.1449999999999996</v>
      </c>
      <c r="D125" s="471">
        <v>67.975999999999999</v>
      </c>
      <c r="E125" s="471">
        <v>53.807000000000002</v>
      </c>
      <c r="F125" s="471">
        <v>52.88</v>
      </c>
      <c r="G125" s="471">
        <v>55.915999999999997</v>
      </c>
      <c r="H125" s="471">
        <v>57.94</v>
      </c>
      <c r="I125" s="471">
        <v>59.710999999999999</v>
      </c>
      <c r="J125" s="471">
        <v>61.145000000000003</v>
      </c>
      <c r="K125" s="471">
        <v>58.951999999999998</v>
      </c>
      <c r="L125" s="471">
        <v>55.578000000000003</v>
      </c>
      <c r="M125" s="471">
        <v>52.204999999999998</v>
      </c>
      <c r="N125" s="471">
        <v>46.386000000000003</v>
      </c>
      <c r="O125" s="471">
        <v>38.119999999999997</v>
      </c>
      <c r="P125" s="471">
        <v>20.324999999999999</v>
      </c>
      <c r="Q125" s="471">
        <v>3.5419999999999998</v>
      </c>
      <c r="R125" s="471">
        <v>1.6020000000000001</v>
      </c>
      <c r="S125" s="471">
        <v>0</v>
      </c>
      <c r="T125" s="373">
        <f>S125</f>
        <v>0</v>
      </c>
      <c r="U125" s="373">
        <f>T125</f>
        <v>0</v>
      </c>
      <c r="V125" s="373">
        <f>U125</f>
        <v>0</v>
      </c>
      <c r="W125" s="373">
        <f>V125</f>
        <v>0</v>
      </c>
      <c r="X125" s="373">
        <f>W125</f>
        <v>0</v>
      </c>
      <c r="Y125" s="382">
        <v>0</v>
      </c>
    </row>
    <row r="126" spans="1:26" ht="13.5" thickBot="1" x14ac:dyDescent="0.25">
      <c r="A126" s="379" t="s">
        <v>117</v>
      </c>
      <c r="B126" s="374">
        <f t="shared" ref="B126:X126" si="28">(C125+B125)*(C124-B124)/2</f>
        <v>2.5724999999999997E-3</v>
      </c>
      <c r="C126" s="375">
        <f t="shared" si="28"/>
        <v>0.95057299999999989</v>
      </c>
      <c r="D126" s="375">
        <f t="shared" si="28"/>
        <v>1.4613959999999999</v>
      </c>
      <c r="E126" s="375">
        <f t="shared" si="28"/>
        <v>0.48009150000000012</v>
      </c>
      <c r="F126" s="375">
        <f t="shared" si="28"/>
        <v>1.7407359999999998</v>
      </c>
      <c r="G126" s="375">
        <f t="shared" si="28"/>
        <v>1.5370559999999998</v>
      </c>
      <c r="H126" s="375">
        <f t="shared" si="28"/>
        <v>3.0001005000000007</v>
      </c>
      <c r="I126" s="375">
        <f t="shared" si="28"/>
        <v>7.8556399999999984</v>
      </c>
      <c r="J126" s="375">
        <f t="shared" si="28"/>
        <v>9.727857000000002</v>
      </c>
      <c r="K126" s="375">
        <f t="shared" si="28"/>
        <v>6.1273549999999961</v>
      </c>
      <c r="L126" s="375">
        <f t="shared" si="28"/>
        <v>5.7124990000000055</v>
      </c>
      <c r="M126" s="375">
        <f t="shared" si="28"/>
        <v>5.0774364999999992</v>
      </c>
      <c r="N126" s="375">
        <f t="shared" si="28"/>
        <v>2.8732039999999976</v>
      </c>
      <c r="O126" s="375">
        <f t="shared" si="28"/>
        <v>2.0747975000000016</v>
      </c>
      <c r="P126" s="375">
        <f t="shared" si="28"/>
        <v>1.0978819999999982</v>
      </c>
      <c r="Q126" s="375">
        <f t="shared" si="28"/>
        <v>5.915600000000034E-2</v>
      </c>
      <c r="R126" s="375">
        <f t="shared" si="28"/>
        <v>1.0412999999999921E-2</v>
      </c>
      <c r="S126" s="375">
        <f t="shared" si="28"/>
        <v>0</v>
      </c>
      <c r="T126" s="375">
        <f t="shared" si="28"/>
        <v>0</v>
      </c>
      <c r="U126" s="375">
        <f t="shared" si="28"/>
        <v>0</v>
      </c>
      <c r="V126" s="375">
        <f t="shared" si="28"/>
        <v>0</v>
      </c>
      <c r="W126" s="375">
        <f t="shared" si="28"/>
        <v>0</v>
      </c>
      <c r="X126" s="375">
        <f t="shared" si="28"/>
        <v>0</v>
      </c>
      <c r="Y126" s="369"/>
    </row>
    <row r="127" spans="1:26" ht="13.5" thickBot="1" x14ac:dyDescent="0.25"/>
    <row r="128" spans="1:26" ht="13.5" thickBot="1" x14ac:dyDescent="0.25">
      <c r="A128" s="361" t="s">
        <v>391</v>
      </c>
      <c r="B128" s="359">
        <f>ROW(A128)</f>
        <v>128</v>
      </c>
      <c r="C128" s="363" t="s">
        <v>116</v>
      </c>
      <c r="D128" s="353">
        <f>SUM(B131:Y131)</f>
        <v>52.815674000000008</v>
      </c>
      <c r="E128" s="363" t="s">
        <v>115</v>
      </c>
      <c r="F128" s="354">
        <v>239</v>
      </c>
      <c r="G128" s="363" t="s">
        <v>57</v>
      </c>
      <c r="H128" s="64">
        <v>7.2999999999999995E-2</v>
      </c>
      <c r="I128" s="363" t="s">
        <v>270</v>
      </c>
      <c r="J128" s="355">
        <f>H128-L128</f>
        <v>2.8999999999999998E-2</v>
      </c>
      <c r="K128" s="363" t="s">
        <v>271</v>
      </c>
      <c r="L128" s="64">
        <v>4.3999999999999997E-2</v>
      </c>
      <c r="M128" s="363" t="s">
        <v>58</v>
      </c>
      <c r="N128" s="396">
        <v>50</v>
      </c>
      <c r="O128" s="363" t="s">
        <v>60</v>
      </c>
      <c r="P128" s="396">
        <v>50</v>
      </c>
      <c r="Q128" s="363" t="s">
        <v>61</v>
      </c>
      <c r="R128" s="65">
        <v>101</v>
      </c>
      <c r="S128" s="363" t="s">
        <v>62</v>
      </c>
      <c r="T128" s="65">
        <v>24</v>
      </c>
      <c r="U128" s="363" t="s">
        <v>55</v>
      </c>
      <c r="V128" s="66" t="s">
        <v>120</v>
      </c>
      <c r="W128" s="463" t="s">
        <v>394</v>
      </c>
      <c r="X128" s="465">
        <v>0.77</v>
      </c>
      <c r="Y128" s="463" t="s">
        <v>393</v>
      </c>
      <c r="Z128" s="358">
        <v>14</v>
      </c>
    </row>
    <row r="129" spans="1:26" x14ac:dyDescent="0.2">
      <c r="A129" s="362" t="s">
        <v>33</v>
      </c>
      <c r="B129" s="471">
        <v>0</v>
      </c>
      <c r="C129" s="471">
        <v>1E-3</v>
      </c>
      <c r="D129" s="471">
        <v>1.2999999999999999E-2</v>
      </c>
      <c r="E129" s="471">
        <v>2.3E-2</v>
      </c>
      <c r="F129" s="471">
        <v>5.1999999999999998E-2</v>
      </c>
      <c r="G129" s="471">
        <v>0.1</v>
      </c>
      <c r="H129" s="471">
        <v>0.379</v>
      </c>
      <c r="I129" s="471">
        <v>0.64100000000000001</v>
      </c>
      <c r="J129" s="471">
        <v>0.66500000000000004</v>
      </c>
      <c r="K129" s="471">
        <v>0.70599999999999996</v>
      </c>
      <c r="L129" s="471">
        <v>0.74399999999999999</v>
      </c>
      <c r="M129" s="471">
        <v>0.78700000000000003</v>
      </c>
      <c r="N129" s="471">
        <v>0.81599999999999995</v>
      </c>
      <c r="O129" s="371">
        <v>1</v>
      </c>
      <c r="P129" s="371">
        <v>1</v>
      </c>
      <c r="Q129" s="371">
        <v>1</v>
      </c>
      <c r="R129" s="371">
        <v>1</v>
      </c>
      <c r="S129" s="371">
        <v>1</v>
      </c>
      <c r="T129" s="371">
        <v>1</v>
      </c>
      <c r="U129" s="371">
        <v>1</v>
      </c>
      <c r="V129" s="371">
        <v>1</v>
      </c>
      <c r="W129" s="371">
        <v>2</v>
      </c>
      <c r="X129" s="371">
        <v>2</v>
      </c>
      <c r="Y129" s="381">
        <v>1000</v>
      </c>
    </row>
    <row r="130" spans="1:26" x14ac:dyDescent="0.2">
      <c r="A130" s="378" t="s">
        <v>34</v>
      </c>
      <c r="B130" s="471">
        <v>0</v>
      </c>
      <c r="C130" s="471">
        <v>8.3030000000000008</v>
      </c>
      <c r="D130" s="471">
        <v>85.68</v>
      </c>
      <c r="E130" s="471">
        <v>96.149000000000001</v>
      </c>
      <c r="F130" s="471">
        <v>78.820999999999998</v>
      </c>
      <c r="G130" s="471">
        <v>83.634</v>
      </c>
      <c r="H130" s="471">
        <v>77.858000000000004</v>
      </c>
      <c r="I130" s="471">
        <v>62.575000000000003</v>
      </c>
      <c r="J130" s="471">
        <v>55.716000000000001</v>
      </c>
      <c r="K130" s="471">
        <v>23.946999999999999</v>
      </c>
      <c r="L130" s="471">
        <v>9.1460000000000008</v>
      </c>
      <c r="M130" s="471">
        <v>2.7679999999999998</v>
      </c>
      <c r="N130" s="471">
        <v>0</v>
      </c>
      <c r="O130" s="373">
        <v>0</v>
      </c>
      <c r="P130" s="373">
        <v>0</v>
      </c>
      <c r="Q130" s="373">
        <v>0</v>
      </c>
      <c r="R130" s="373">
        <v>0</v>
      </c>
      <c r="S130" s="373">
        <v>0</v>
      </c>
      <c r="T130" s="373">
        <v>0</v>
      </c>
      <c r="U130" s="373">
        <v>0</v>
      </c>
      <c r="V130" s="373">
        <f>U130</f>
        <v>0</v>
      </c>
      <c r="W130" s="373">
        <f>V130</f>
        <v>0</v>
      </c>
      <c r="X130" s="373">
        <f>W130</f>
        <v>0</v>
      </c>
      <c r="Y130" s="382">
        <v>0</v>
      </c>
    </row>
    <row r="131" spans="1:26" ht="13.5" thickBot="1" x14ac:dyDescent="0.25">
      <c r="A131" s="379" t="s">
        <v>117</v>
      </c>
      <c r="B131" s="374">
        <f t="shared" ref="B131:X131" si="29">(C130+B130)*(C129-B129)/2</f>
        <v>4.1515000000000007E-3</v>
      </c>
      <c r="C131" s="375">
        <f t="shared" si="29"/>
        <v>0.56389800000000001</v>
      </c>
      <c r="D131" s="375">
        <f t="shared" si="29"/>
        <v>0.90914500000000009</v>
      </c>
      <c r="E131" s="375">
        <f t="shared" si="29"/>
        <v>2.5370649999999997</v>
      </c>
      <c r="F131" s="375">
        <f t="shared" si="29"/>
        <v>3.8989200000000004</v>
      </c>
      <c r="G131" s="375">
        <f t="shared" si="29"/>
        <v>22.528134000000005</v>
      </c>
      <c r="H131" s="375">
        <f t="shared" si="29"/>
        <v>18.396723000000001</v>
      </c>
      <c r="I131" s="375">
        <f t="shared" si="29"/>
        <v>1.4194920000000013</v>
      </c>
      <c r="J131" s="375">
        <f t="shared" si="29"/>
        <v>1.633091499999997</v>
      </c>
      <c r="K131" s="375">
        <f t="shared" si="29"/>
        <v>0.62876700000000063</v>
      </c>
      <c r="L131" s="375">
        <f t="shared" si="29"/>
        <v>0.25615100000000024</v>
      </c>
      <c r="M131" s="375">
        <f t="shared" si="29"/>
        <v>4.013599999999988E-2</v>
      </c>
      <c r="N131" s="375">
        <f t="shared" si="29"/>
        <v>0</v>
      </c>
      <c r="O131" s="375">
        <f t="shared" si="29"/>
        <v>0</v>
      </c>
      <c r="P131" s="375">
        <f t="shared" si="29"/>
        <v>0</v>
      </c>
      <c r="Q131" s="375">
        <f t="shared" si="29"/>
        <v>0</v>
      </c>
      <c r="R131" s="375">
        <f t="shared" si="29"/>
        <v>0</v>
      </c>
      <c r="S131" s="375">
        <f t="shared" si="29"/>
        <v>0</v>
      </c>
      <c r="T131" s="375">
        <f t="shared" si="29"/>
        <v>0</v>
      </c>
      <c r="U131" s="375">
        <f t="shared" si="29"/>
        <v>0</v>
      </c>
      <c r="V131" s="375">
        <f t="shared" si="29"/>
        <v>0</v>
      </c>
      <c r="W131" s="375">
        <f t="shared" si="29"/>
        <v>0</v>
      </c>
      <c r="X131" s="375">
        <f t="shared" si="29"/>
        <v>0</v>
      </c>
      <c r="Y131" s="369"/>
    </row>
    <row r="132" spans="1:26" ht="13.5" thickBot="1" x14ac:dyDescent="0.25">
      <c r="A132" s="6" t="s">
        <v>313</v>
      </c>
    </row>
    <row r="133" spans="1:26" ht="13.5" thickBot="1" x14ac:dyDescent="0.25">
      <c r="A133" s="361" t="s">
        <v>381</v>
      </c>
      <c r="B133" s="359">
        <f>ROW(A133)</f>
        <v>133</v>
      </c>
      <c r="C133" s="363" t="s">
        <v>116</v>
      </c>
      <c r="D133" s="353">
        <f>SUM(B136:Y136)</f>
        <v>41.835000000000015</v>
      </c>
      <c r="E133" s="363" t="s">
        <v>115</v>
      </c>
      <c r="F133" s="354">
        <f>D133/g/J133</f>
        <v>121.84359982525126</v>
      </c>
      <c r="G133" s="363" t="s">
        <v>57</v>
      </c>
      <c r="H133" s="64">
        <v>0.104</v>
      </c>
      <c r="I133" s="363" t="s">
        <v>270</v>
      </c>
      <c r="J133" s="355">
        <f>H133-L133</f>
        <v>3.4999999999999989E-2</v>
      </c>
      <c r="K133" s="363" t="s">
        <v>271</v>
      </c>
      <c r="L133" s="64">
        <v>6.9000000000000006E-2</v>
      </c>
      <c r="M133" s="363" t="s">
        <v>58</v>
      </c>
      <c r="N133" s="65">
        <v>49</v>
      </c>
      <c r="O133" s="363" t="s">
        <v>60</v>
      </c>
      <c r="P133" s="65">
        <v>49</v>
      </c>
      <c r="Q133" s="363" t="s">
        <v>61</v>
      </c>
      <c r="R133" s="65">
        <v>98</v>
      </c>
      <c r="S133" s="363" t="s">
        <v>62</v>
      </c>
      <c r="T133" s="65">
        <v>29</v>
      </c>
      <c r="U133" s="363" t="s">
        <v>55</v>
      </c>
      <c r="V133" s="66" t="s">
        <v>399</v>
      </c>
      <c r="W133" s="463" t="s">
        <v>394</v>
      </c>
      <c r="X133" s="465">
        <v>1.07</v>
      </c>
      <c r="Y133" s="463" t="s">
        <v>393</v>
      </c>
      <c r="Z133" s="358">
        <v>11</v>
      </c>
    </row>
    <row r="134" spans="1:26" x14ac:dyDescent="0.2">
      <c r="A134" s="362" t="s">
        <v>33</v>
      </c>
      <c r="B134" s="370">
        <v>0</v>
      </c>
      <c r="C134" s="371">
        <v>0.01</v>
      </c>
      <c r="D134" s="371">
        <v>0.02</v>
      </c>
      <c r="E134" s="371">
        <v>0.03</v>
      </c>
      <c r="F134" s="371">
        <v>0.04</v>
      </c>
      <c r="G134" s="371">
        <v>0.06</v>
      </c>
      <c r="H134" s="371">
        <v>7.0000000000000007E-2</v>
      </c>
      <c r="I134" s="371">
        <v>0.08</v>
      </c>
      <c r="J134" s="371">
        <v>0.1</v>
      </c>
      <c r="K134" s="371">
        <v>0.2</v>
      </c>
      <c r="L134" s="371">
        <v>0.3</v>
      </c>
      <c r="M134" s="371">
        <v>0.4</v>
      </c>
      <c r="N134" s="371">
        <v>0.5</v>
      </c>
      <c r="O134" s="371">
        <v>0.6</v>
      </c>
      <c r="P134" s="371">
        <v>0.7</v>
      </c>
      <c r="Q134" s="371">
        <v>0.8</v>
      </c>
      <c r="R134" s="371">
        <v>0.85</v>
      </c>
      <c r="S134" s="371">
        <v>0.92</v>
      </c>
      <c r="T134" s="371">
        <v>0.95</v>
      </c>
      <c r="U134" s="371">
        <v>0.99</v>
      </c>
      <c r="V134" s="371">
        <v>1.05</v>
      </c>
      <c r="W134" s="371">
        <v>1.05</v>
      </c>
      <c r="X134" s="371">
        <v>2</v>
      </c>
      <c r="Y134" s="381">
        <v>1000</v>
      </c>
    </row>
    <row r="135" spans="1:26" x14ac:dyDescent="0.2">
      <c r="A135" s="378" t="s">
        <v>34</v>
      </c>
      <c r="B135" s="372">
        <v>0</v>
      </c>
      <c r="C135" s="373">
        <v>12</v>
      </c>
      <c r="D135" s="373">
        <v>46</v>
      </c>
      <c r="E135" s="373">
        <v>75</v>
      </c>
      <c r="F135" s="373">
        <v>79</v>
      </c>
      <c r="G135" s="373">
        <v>77</v>
      </c>
      <c r="H135" s="373">
        <v>62</v>
      </c>
      <c r="I135" s="373">
        <v>32</v>
      </c>
      <c r="J135" s="373">
        <v>35</v>
      </c>
      <c r="K135" s="373">
        <v>38</v>
      </c>
      <c r="L135" s="373">
        <v>39</v>
      </c>
      <c r="M135" s="373">
        <v>41</v>
      </c>
      <c r="N135" s="373">
        <v>43</v>
      </c>
      <c r="O135" s="373">
        <v>43</v>
      </c>
      <c r="P135" s="373">
        <v>43</v>
      </c>
      <c r="Q135" s="373">
        <v>43</v>
      </c>
      <c r="R135" s="373">
        <v>47</v>
      </c>
      <c r="S135" s="373">
        <v>54</v>
      </c>
      <c r="T135" s="373">
        <v>32</v>
      </c>
      <c r="U135" s="373">
        <v>8</v>
      </c>
      <c r="V135" s="373">
        <v>0</v>
      </c>
      <c r="W135" s="373">
        <v>0</v>
      </c>
      <c r="X135" s="373">
        <v>0</v>
      </c>
      <c r="Y135" s="382">
        <v>0</v>
      </c>
    </row>
    <row r="136" spans="1:26" ht="13.5" thickBot="1" x14ac:dyDescent="0.25">
      <c r="A136" s="379" t="s">
        <v>117</v>
      </c>
      <c r="B136" s="374">
        <f t="shared" ref="B136:X136" si="30">(C135+B135)*(C134-B134)/2</f>
        <v>0.06</v>
      </c>
      <c r="C136" s="375">
        <f t="shared" si="30"/>
        <v>0.28999999999999998</v>
      </c>
      <c r="D136" s="375">
        <f t="shared" si="30"/>
        <v>0.60499999999999987</v>
      </c>
      <c r="E136" s="375">
        <f t="shared" si="30"/>
        <v>0.77000000000000013</v>
      </c>
      <c r="F136" s="375">
        <f t="shared" si="30"/>
        <v>1.5599999999999998</v>
      </c>
      <c r="G136" s="375">
        <f t="shared" si="30"/>
        <v>0.69500000000000062</v>
      </c>
      <c r="H136" s="375">
        <f t="shared" si="30"/>
        <v>0.46999999999999975</v>
      </c>
      <c r="I136" s="375">
        <f t="shared" si="30"/>
        <v>0.67000000000000015</v>
      </c>
      <c r="J136" s="375">
        <f t="shared" si="30"/>
        <v>3.6500000000000004</v>
      </c>
      <c r="K136" s="375">
        <f t="shared" si="30"/>
        <v>3.8499999999999992</v>
      </c>
      <c r="L136" s="375">
        <f t="shared" si="30"/>
        <v>4.0000000000000018</v>
      </c>
      <c r="M136" s="375">
        <f t="shared" si="30"/>
        <v>4.1999999999999993</v>
      </c>
      <c r="N136" s="375">
        <f t="shared" si="30"/>
        <v>4.2999999999999989</v>
      </c>
      <c r="O136" s="375">
        <f t="shared" si="30"/>
        <v>4.2999999999999989</v>
      </c>
      <c r="P136" s="375">
        <f t="shared" si="30"/>
        <v>4.3000000000000043</v>
      </c>
      <c r="Q136" s="375">
        <f t="shared" si="30"/>
        <v>2.2499999999999969</v>
      </c>
      <c r="R136" s="375">
        <f t="shared" si="30"/>
        <v>3.5350000000000033</v>
      </c>
      <c r="S136" s="375">
        <f t="shared" si="30"/>
        <v>1.2899999999999965</v>
      </c>
      <c r="T136" s="375">
        <f t="shared" si="30"/>
        <v>0.80000000000000071</v>
      </c>
      <c r="U136" s="375">
        <f t="shared" si="30"/>
        <v>0.24000000000000021</v>
      </c>
      <c r="V136" s="375">
        <f t="shared" si="30"/>
        <v>0</v>
      </c>
      <c r="W136" s="375">
        <f t="shared" si="30"/>
        <v>0</v>
      </c>
      <c r="X136" s="375">
        <f t="shared" si="30"/>
        <v>0</v>
      </c>
      <c r="Y136" s="369"/>
    </row>
    <row r="137" spans="1:26" ht="13.5" thickBot="1" x14ac:dyDescent="0.25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</row>
    <row r="138" spans="1:26" ht="13.5" thickBot="1" x14ac:dyDescent="0.25">
      <c r="A138" s="361" t="s">
        <v>382</v>
      </c>
      <c r="B138" s="359">
        <f>ROW(A138)</f>
        <v>138</v>
      </c>
      <c r="C138" s="363" t="s">
        <v>116</v>
      </c>
      <c r="D138" s="353">
        <f>SUM(B141:Y141)</f>
        <v>52.564999999999998</v>
      </c>
      <c r="E138" s="363" t="s">
        <v>115</v>
      </c>
      <c r="F138" s="354">
        <f>D138/g/J138</f>
        <v>167.44712028542301</v>
      </c>
      <c r="G138" s="363" t="s">
        <v>57</v>
      </c>
      <c r="H138" s="64">
        <v>0.10100000000000001</v>
      </c>
      <c r="I138" s="363" t="s">
        <v>270</v>
      </c>
      <c r="J138" s="355">
        <f>H138-L138</f>
        <v>3.2000000000000001E-2</v>
      </c>
      <c r="K138" s="363" t="s">
        <v>271</v>
      </c>
      <c r="L138" s="64">
        <v>6.9000000000000006E-2</v>
      </c>
      <c r="M138" s="363" t="s">
        <v>58</v>
      </c>
      <c r="N138" s="65">
        <v>49</v>
      </c>
      <c r="O138" s="363" t="s">
        <v>60</v>
      </c>
      <c r="P138" s="65">
        <v>49</v>
      </c>
      <c r="Q138" s="363" t="s">
        <v>61</v>
      </c>
      <c r="R138" s="65">
        <v>98</v>
      </c>
      <c r="S138" s="363" t="s">
        <v>62</v>
      </c>
      <c r="T138" s="65">
        <v>29</v>
      </c>
      <c r="U138" s="363" t="s">
        <v>55</v>
      </c>
      <c r="V138" s="66" t="s">
        <v>400</v>
      </c>
      <c r="W138" s="463" t="s">
        <v>394</v>
      </c>
      <c r="X138" s="465">
        <v>1.8</v>
      </c>
      <c r="Y138" s="463" t="s">
        <v>393</v>
      </c>
      <c r="Z138" s="358">
        <v>12</v>
      </c>
    </row>
    <row r="139" spans="1:26" x14ac:dyDescent="0.2">
      <c r="A139" s="362" t="s">
        <v>33</v>
      </c>
      <c r="B139" s="370">
        <v>0</v>
      </c>
      <c r="C139" s="371">
        <v>0.01</v>
      </c>
      <c r="D139" s="371">
        <v>0.03</v>
      </c>
      <c r="E139" s="371">
        <v>0.04</v>
      </c>
      <c r="F139" s="371">
        <v>0.05</v>
      </c>
      <c r="G139" s="371">
        <v>0.06</v>
      </c>
      <c r="H139" s="371">
        <v>7.0000000000000007E-2</v>
      </c>
      <c r="I139" s="371">
        <v>0.08</v>
      </c>
      <c r="J139" s="371">
        <v>0.09</v>
      </c>
      <c r="K139" s="371">
        <v>0.1</v>
      </c>
      <c r="L139" s="371">
        <v>0.2</v>
      </c>
      <c r="M139" s="371">
        <v>0.3</v>
      </c>
      <c r="N139" s="371">
        <v>0.4</v>
      </c>
      <c r="O139" s="371">
        <v>0.5</v>
      </c>
      <c r="P139" s="371">
        <v>0.7</v>
      </c>
      <c r="Q139" s="371">
        <v>0.8</v>
      </c>
      <c r="R139" s="371">
        <v>0.9</v>
      </c>
      <c r="S139" s="371">
        <v>1</v>
      </c>
      <c r="T139" s="371">
        <v>1.1000000000000001</v>
      </c>
      <c r="U139" s="371">
        <v>1.24</v>
      </c>
      <c r="V139" s="371">
        <v>1.3</v>
      </c>
      <c r="W139" s="371">
        <v>1.5</v>
      </c>
      <c r="X139" s="371">
        <v>2</v>
      </c>
      <c r="Y139" s="381">
        <v>1000</v>
      </c>
    </row>
    <row r="140" spans="1:26" x14ac:dyDescent="0.2">
      <c r="A140" s="378" t="s">
        <v>34</v>
      </c>
      <c r="B140" s="372">
        <v>0</v>
      </c>
      <c r="C140" s="373">
        <v>12</v>
      </c>
      <c r="D140" s="373">
        <v>41</v>
      </c>
      <c r="E140" s="373">
        <v>42</v>
      </c>
      <c r="F140" s="373">
        <v>42</v>
      </c>
      <c r="G140" s="373">
        <v>40</v>
      </c>
      <c r="H140" s="373">
        <v>34</v>
      </c>
      <c r="I140" s="373">
        <v>34</v>
      </c>
      <c r="J140" s="373">
        <v>35</v>
      </c>
      <c r="K140" s="373">
        <v>36</v>
      </c>
      <c r="L140" s="373">
        <v>40</v>
      </c>
      <c r="M140" s="373">
        <v>42</v>
      </c>
      <c r="N140" s="373">
        <v>43</v>
      </c>
      <c r="O140" s="373">
        <v>43</v>
      </c>
      <c r="P140" s="373">
        <v>43</v>
      </c>
      <c r="Q140" s="373">
        <v>42</v>
      </c>
      <c r="R140" s="373">
        <v>41</v>
      </c>
      <c r="S140" s="373">
        <v>40</v>
      </c>
      <c r="T140" s="373">
        <v>38</v>
      </c>
      <c r="U140" s="373">
        <v>37</v>
      </c>
      <c r="V140" s="373">
        <v>12</v>
      </c>
      <c r="W140" s="373">
        <v>0</v>
      </c>
      <c r="X140" s="373">
        <v>0</v>
      </c>
      <c r="Y140" s="382">
        <v>0</v>
      </c>
    </row>
    <row r="141" spans="1:26" ht="13.5" thickBot="1" x14ac:dyDescent="0.25">
      <c r="A141" s="379" t="s">
        <v>117</v>
      </c>
      <c r="B141" s="374">
        <f t="shared" ref="B141:X141" si="31">(C140+B140)*(C139-B139)/2</f>
        <v>0.06</v>
      </c>
      <c r="C141" s="375">
        <f t="shared" si="31"/>
        <v>0.52999999999999992</v>
      </c>
      <c r="D141" s="375">
        <f t="shared" si="31"/>
        <v>0.41500000000000009</v>
      </c>
      <c r="E141" s="375">
        <f t="shared" si="31"/>
        <v>0.4200000000000001</v>
      </c>
      <c r="F141" s="375">
        <f t="shared" si="31"/>
        <v>0.40999999999999981</v>
      </c>
      <c r="G141" s="375">
        <f t="shared" si="31"/>
        <v>0.37000000000000033</v>
      </c>
      <c r="H141" s="375">
        <f t="shared" si="31"/>
        <v>0.33999999999999986</v>
      </c>
      <c r="I141" s="375">
        <f t="shared" si="31"/>
        <v>0.34499999999999981</v>
      </c>
      <c r="J141" s="375">
        <f t="shared" si="31"/>
        <v>0.35500000000000032</v>
      </c>
      <c r="K141" s="375">
        <f t="shared" si="31"/>
        <v>3.8000000000000003</v>
      </c>
      <c r="L141" s="375">
        <f t="shared" si="31"/>
        <v>4.0999999999999988</v>
      </c>
      <c r="M141" s="375">
        <f t="shared" si="31"/>
        <v>4.2500000000000018</v>
      </c>
      <c r="N141" s="375">
        <f t="shared" si="31"/>
        <v>4.2999999999999989</v>
      </c>
      <c r="O141" s="375">
        <f t="shared" si="31"/>
        <v>8.5999999999999979</v>
      </c>
      <c r="P141" s="375">
        <f t="shared" si="31"/>
        <v>4.2500000000000036</v>
      </c>
      <c r="Q141" s="375">
        <f t="shared" si="31"/>
        <v>4.1499999999999995</v>
      </c>
      <c r="R141" s="375">
        <f t="shared" si="31"/>
        <v>4.0499999999999989</v>
      </c>
      <c r="S141" s="375">
        <f t="shared" si="31"/>
        <v>3.9000000000000035</v>
      </c>
      <c r="T141" s="375">
        <f t="shared" si="31"/>
        <v>5.2499999999999964</v>
      </c>
      <c r="U141" s="375">
        <f t="shared" si="31"/>
        <v>1.4700000000000013</v>
      </c>
      <c r="V141" s="375">
        <f t="shared" si="31"/>
        <v>1.1999999999999997</v>
      </c>
      <c r="W141" s="375">
        <f t="shared" si="31"/>
        <v>0</v>
      </c>
      <c r="X141" s="375">
        <f t="shared" si="31"/>
        <v>0</v>
      </c>
      <c r="Y141" s="369"/>
    </row>
    <row r="142" spans="1:26" ht="13.5" thickBot="1" x14ac:dyDescent="0.25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</row>
    <row r="143" spans="1:26" ht="13.5" thickBot="1" x14ac:dyDescent="0.25">
      <c r="A143" s="361" t="s">
        <v>383</v>
      </c>
      <c r="B143" s="359">
        <f>ROW(A143)</f>
        <v>143</v>
      </c>
      <c r="C143" s="363" t="s">
        <v>116</v>
      </c>
      <c r="D143" s="353">
        <f>SUM(B146:Y146)</f>
        <v>54.110016122119539</v>
      </c>
      <c r="E143" s="363" t="s">
        <v>115</v>
      </c>
      <c r="F143" s="354">
        <f>D143/g/J143</f>
        <v>146.69685764124625</v>
      </c>
      <c r="G143" s="363" t="s">
        <v>57</v>
      </c>
      <c r="H143" s="64">
        <v>0.10580000000000001</v>
      </c>
      <c r="I143" s="363" t="s">
        <v>270</v>
      </c>
      <c r="J143" s="355">
        <f>H143-L143</f>
        <v>3.7600000000000008E-2</v>
      </c>
      <c r="K143" s="363" t="s">
        <v>271</v>
      </c>
      <c r="L143" s="64">
        <v>6.8199999999999997E-2</v>
      </c>
      <c r="M143" s="363" t="s">
        <v>58</v>
      </c>
      <c r="N143" s="65">
        <v>49</v>
      </c>
      <c r="O143" s="363" t="s">
        <v>60</v>
      </c>
      <c r="P143" s="65">
        <v>49</v>
      </c>
      <c r="Q143" s="363" t="s">
        <v>61</v>
      </c>
      <c r="R143" s="65">
        <v>98</v>
      </c>
      <c r="S143" s="363" t="s">
        <v>62</v>
      </c>
      <c r="T143" s="65">
        <v>29</v>
      </c>
      <c r="U143" s="363" t="s">
        <v>55</v>
      </c>
      <c r="V143" s="66" t="s">
        <v>399</v>
      </c>
      <c r="W143" s="463" t="s">
        <v>394</v>
      </c>
      <c r="X143" s="465">
        <v>1.9</v>
      </c>
      <c r="Y143" s="463" t="s">
        <v>393</v>
      </c>
      <c r="Z143" s="358">
        <v>12</v>
      </c>
    </row>
    <row r="144" spans="1:26" x14ac:dyDescent="0.2">
      <c r="A144" s="362" t="s">
        <v>33</v>
      </c>
      <c r="B144" s="370">
        <v>0</v>
      </c>
      <c r="C144" s="371">
        <v>2.5000000000000001E-2</v>
      </c>
      <c r="D144" s="371">
        <v>0.05</v>
      </c>
      <c r="E144" s="371">
        <v>7.4999999999999997E-2</v>
      </c>
      <c r="F144" s="371">
        <v>0.1</v>
      </c>
      <c r="G144" s="371">
        <v>0.15</v>
      </c>
      <c r="H144" s="371">
        <v>0.17499999999999999</v>
      </c>
      <c r="I144" s="371">
        <v>0.2</v>
      </c>
      <c r="J144" s="371">
        <v>0.3</v>
      </c>
      <c r="K144" s="371">
        <v>0.4</v>
      </c>
      <c r="L144" s="371">
        <v>0.5</v>
      </c>
      <c r="M144" s="371">
        <v>0.6</v>
      </c>
      <c r="N144" s="371">
        <v>0.7</v>
      </c>
      <c r="O144" s="371">
        <v>0.8</v>
      </c>
      <c r="P144" s="371">
        <v>0.9</v>
      </c>
      <c r="Q144" s="371">
        <v>1.1000000000000001</v>
      </c>
      <c r="R144" s="371">
        <v>1.2</v>
      </c>
      <c r="S144" s="371">
        <v>1.6</v>
      </c>
      <c r="T144" s="371">
        <v>1.7</v>
      </c>
      <c r="U144" s="371">
        <v>1.8</v>
      </c>
      <c r="V144" s="371">
        <v>1.9</v>
      </c>
      <c r="W144" s="371">
        <v>1.9999</v>
      </c>
      <c r="X144" s="371">
        <v>2</v>
      </c>
      <c r="Y144" s="381">
        <v>1000</v>
      </c>
    </row>
    <row r="145" spans="1:26" x14ac:dyDescent="0.2">
      <c r="A145" s="378" t="s">
        <v>34</v>
      </c>
      <c r="B145" s="372">
        <v>0</v>
      </c>
      <c r="C145" s="376">
        <v>15.2574001848975</v>
      </c>
      <c r="D145" s="376">
        <v>26.377954255522496</v>
      </c>
      <c r="E145" s="376">
        <v>21.484910464447498</v>
      </c>
      <c r="F145" s="376">
        <v>24.020396792549999</v>
      </c>
      <c r="G145" s="376">
        <v>28.11276069054</v>
      </c>
      <c r="H145" s="376">
        <v>28.691029502212498</v>
      </c>
      <c r="I145" s="376">
        <v>29.180333881319996</v>
      </c>
      <c r="J145" s="376">
        <v>31.493409128009997</v>
      </c>
      <c r="K145" s="376">
        <v>32.560982318789996</v>
      </c>
      <c r="L145" s="376">
        <v>32.827875616484995</v>
      </c>
      <c r="M145" s="376">
        <v>32.649946751354996</v>
      </c>
      <c r="N145" s="376">
        <v>32.383053453659997</v>
      </c>
      <c r="O145" s="376">
        <v>32.249606804812501</v>
      </c>
      <c r="P145" s="376">
        <v>31.804784641987499</v>
      </c>
      <c r="Q145" s="376">
        <v>30.559282586077497</v>
      </c>
      <c r="R145" s="376">
        <v>30.069978206969999</v>
      </c>
      <c r="S145" s="376">
        <v>26.377954255522496</v>
      </c>
      <c r="T145" s="376">
        <v>24.865558901917499</v>
      </c>
      <c r="U145" s="376">
        <v>18.4601197572375</v>
      </c>
      <c r="V145" s="376">
        <v>7.5174945517424998</v>
      </c>
      <c r="W145" s="376">
        <v>1.3789487047575</v>
      </c>
      <c r="X145" s="373">
        <v>0</v>
      </c>
      <c r="Y145" s="382">
        <v>0</v>
      </c>
    </row>
    <row r="146" spans="1:26" ht="13.5" thickBot="1" x14ac:dyDescent="0.25">
      <c r="A146" s="379" t="s">
        <v>117</v>
      </c>
      <c r="B146" s="374">
        <f t="shared" ref="B146:V146" si="32">(C145+B145)*(C144-B144)/2</f>
        <v>0.19071750231121876</v>
      </c>
      <c r="C146" s="375">
        <f t="shared" si="32"/>
        <v>0.52044193050525001</v>
      </c>
      <c r="D146" s="375">
        <f t="shared" si="32"/>
        <v>0.5982858089996248</v>
      </c>
      <c r="E146" s="375">
        <f t="shared" si="32"/>
        <v>0.56881634071246889</v>
      </c>
      <c r="F146" s="375">
        <f t="shared" si="32"/>
        <v>1.3033289370772498</v>
      </c>
      <c r="G146" s="375">
        <f t="shared" si="32"/>
        <v>0.71004737740940616</v>
      </c>
      <c r="H146" s="375">
        <f t="shared" si="32"/>
        <v>0.72339204229415688</v>
      </c>
      <c r="I146" s="375">
        <f t="shared" si="32"/>
        <v>3.0336871504664993</v>
      </c>
      <c r="J146" s="375">
        <f>(K145+J145)*(K144-J144)/2</f>
        <v>3.2027195723400008</v>
      </c>
      <c r="K146" s="375">
        <f t="shared" si="32"/>
        <v>3.2694428967637483</v>
      </c>
      <c r="L146" s="375">
        <f t="shared" si="32"/>
        <v>3.2738911183919988</v>
      </c>
      <c r="M146" s="375">
        <f t="shared" si="32"/>
        <v>3.2516500102507484</v>
      </c>
      <c r="N146" s="375">
        <f t="shared" si="32"/>
        <v>3.2316330129236279</v>
      </c>
      <c r="O146" s="375">
        <f t="shared" si="32"/>
        <v>3.202719572339999</v>
      </c>
      <c r="P146" s="375">
        <f t="shared" si="32"/>
        <v>6.2364067228065014</v>
      </c>
      <c r="Q146" s="375">
        <f t="shared" si="32"/>
        <v>3.0314630396523707</v>
      </c>
      <c r="R146" s="375">
        <f t="shared" si="32"/>
        <v>11.289586492498502</v>
      </c>
      <c r="S146" s="375">
        <f>(T145+S145)*(T144-S144)/2</f>
        <v>2.5621756578719963</v>
      </c>
      <c r="T146" s="375">
        <f t="shared" si="32"/>
        <v>2.1662839329577519</v>
      </c>
      <c r="U146" s="375">
        <f t="shared" si="32"/>
        <v>1.2988807154489983</v>
      </c>
      <c r="V146" s="375">
        <f t="shared" si="32"/>
        <v>0.44437734066217544</v>
      </c>
      <c r="W146" s="375">
        <f>(X145+W145)*(X144-W144)/2</f>
        <v>6.894743523786741E-5</v>
      </c>
      <c r="X146" s="375">
        <f>(Y145+X145)*(Y144-X144)/2</f>
        <v>0</v>
      </c>
      <c r="Y146" s="369"/>
    </row>
    <row r="147" spans="1:26" ht="13.5" thickBot="1" x14ac:dyDescent="0.25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</row>
    <row r="148" spans="1:26" ht="13.5" thickBot="1" x14ac:dyDescent="0.25">
      <c r="A148" s="361" t="s">
        <v>545</v>
      </c>
      <c r="B148" s="359">
        <f>ROW(A148)</f>
        <v>148</v>
      </c>
      <c r="C148" s="363" t="s">
        <v>116</v>
      </c>
      <c r="D148" s="353">
        <f>SUM(B151:Y151)</f>
        <v>55.589492</v>
      </c>
      <c r="E148" s="363" t="s">
        <v>115</v>
      </c>
      <c r="F148" s="354">
        <f>D148/g/J148</f>
        <v>177.08171508664634</v>
      </c>
      <c r="G148" s="363" t="s">
        <v>57</v>
      </c>
      <c r="H148" s="64">
        <v>0.10199999999999999</v>
      </c>
      <c r="I148" s="363" t="s">
        <v>270</v>
      </c>
      <c r="J148" s="355">
        <f>H148-L148</f>
        <v>3.1999999999999987E-2</v>
      </c>
      <c r="K148" s="363" t="s">
        <v>271</v>
      </c>
      <c r="L148" s="64">
        <v>7.0000000000000007E-2</v>
      </c>
      <c r="M148" s="363" t="s">
        <v>58</v>
      </c>
      <c r="N148" s="65">
        <v>49</v>
      </c>
      <c r="O148" s="363" t="s">
        <v>60</v>
      </c>
      <c r="P148" s="65">
        <v>49</v>
      </c>
      <c r="Q148" s="363" t="s">
        <v>61</v>
      </c>
      <c r="R148" s="65">
        <v>98</v>
      </c>
      <c r="S148" s="363" t="s">
        <v>62</v>
      </c>
      <c r="T148" s="65">
        <v>29</v>
      </c>
      <c r="U148" s="363" t="s">
        <v>55</v>
      </c>
      <c r="V148" s="66" t="s">
        <v>400</v>
      </c>
      <c r="W148" s="463" t="s">
        <v>394</v>
      </c>
      <c r="X148" s="465">
        <v>0.45</v>
      </c>
      <c r="Y148" s="463" t="s">
        <v>393</v>
      </c>
      <c r="Z148" s="358">
        <v>12</v>
      </c>
    </row>
    <row r="149" spans="1:26" x14ac:dyDescent="0.2">
      <c r="A149" s="362" t="s">
        <v>33</v>
      </c>
      <c r="B149" s="370">
        <v>0</v>
      </c>
      <c r="C149" s="371">
        <v>1E-3</v>
      </c>
      <c r="D149" s="371">
        <v>2.3E-2</v>
      </c>
      <c r="E149" s="371">
        <v>0.05</v>
      </c>
      <c r="F149" s="371">
        <v>5.8999999999999997E-2</v>
      </c>
      <c r="G149" s="371">
        <v>9.5000000000000001E-2</v>
      </c>
      <c r="H149" s="371">
        <v>0.21199999999999999</v>
      </c>
      <c r="I149" s="371">
        <v>0.34399999999999997</v>
      </c>
      <c r="J149" s="371">
        <v>1.5669999999999999</v>
      </c>
      <c r="K149" s="371">
        <v>1.631</v>
      </c>
      <c r="L149" s="371">
        <v>1.663</v>
      </c>
      <c r="M149" s="371">
        <v>1.7849999999999999</v>
      </c>
      <c r="N149" s="371">
        <v>1.8280000000000001</v>
      </c>
      <c r="O149" s="371">
        <v>2</v>
      </c>
      <c r="P149" s="371">
        <v>2</v>
      </c>
      <c r="Q149" s="371">
        <v>2</v>
      </c>
      <c r="R149" s="371">
        <v>2</v>
      </c>
      <c r="S149" s="371">
        <v>2</v>
      </c>
      <c r="T149" s="371">
        <v>2</v>
      </c>
      <c r="U149" s="371">
        <v>2</v>
      </c>
      <c r="V149" s="371">
        <v>2</v>
      </c>
      <c r="W149" s="371">
        <v>2</v>
      </c>
      <c r="X149" s="371">
        <v>2</v>
      </c>
      <c r="Y149" s="381">
        <v>1000</v>
      </c>
    </row>
    <row r="150" spans="1:26" x14ac:dyDescent="0.2">
      <c r="A150" s="378" t="s">
        <v>34</v>
      </c>
      <c r="B150" s="372">
        <v>0</v>
      </c>
      <c r="C150" s="373">
        <v>3.4830000000000001</v>
      </c>
      <c r="D150" s="373">
        <v>64.052999999999997</v>
      </c>
      <c r="E150" s="373">
        <v>31.347000000000001</v>
      </c>
      <c r="F150" s="373">
        <v>28.459</v>
      </c>
      <c r="G150" s="373">
        <v>32.027000000000001</v>
      </c>
      <c r="H150" s="373">
        <v>36.189</v>
      </c>
      <c r="I150" s="373">
        <v>37.548999999999999</v>
      </c>
      <c r="J150" s="373">
        <v>26.164999999999999</v>
      </c>
      <c r="K150" s="373">
        <v>26.93</v>
      </c>
      <c r="L150" s="373">
        <v>25.315999999999999</v>
      </c>
      <c r="M150" s="373">
        <v>3.653</v>
      </c>
      <c r="N150" s="373">
        <v>0</v>
      </c>
      <c r="O150" s="373">
        <v>0</v>
      </c>
      <c r="P150" s="373">
        <v>0</v>
      </c>
      <c r="Q150" s="373">
        <v>0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  <c r="Y150" s="382">
        <v>0</v>
      </c>
    </row>
    <row r="151" spans="1:26" ht="13.5" thickBot="1" x14ac:dyDescent="0.25">
      <c r="A151" s="379" t="s">
        <v>117</v>
      </c>
      <c r="B151" s="374">
        <f t="shared" ref="B151" si="33">(C150+B150)*(C149-B149)/2</f>
        <v>1.7415E-3</v>
      </c>
      <c r="C151" s="375">
        <f t="shared" ref="C151" si="34">(D150+C150)*(D149-C149)/2</f>
        <v>0.742896</v>
      </c>
      <c r="D151" s="375">
        <f t="shared" ref="D151" si="35">(E150+D150)*(E149-D149)/2</f>
        <v>1.2879000000000003</v>
      </c>
      <c r="E151" s="375">
        <f t="shared" ref="E151" si="36">(F150+E150)*(F149-E149)/2</f>
        <v>0.26912699999999984</v>
      </c>
      <c r="F151" s="375">
        <f t="shared" ref="F151" si="37">(G150+F150)*(G149-F149)/2</f>
        <v>1.0887480000000003</v>
      </c>
      <c r="G151" s="375">
        <f t="shared" ref="G151" si="38">(H150+G150)*(H149-G149)/2</f>
        <v>3.9906360000000003</v>
      </c>
      <c r="H151" s="375">
        <f t="shared" ref="H151" si="39">(I150+H150)*(I149-H149)/2</f>
        <v>4.8667079999999991</v>
      </c>
      <c r="I151" s="375">
        <f t="shared" ref="I151" si="40">(J150+I150)*(J149-I149)/2</f>
        <v>38.961110999999995</v>
      </c>
      <c r="J151" s="375">
        <f t="shared" ref="J151" si="41">(K150+J150)*(K149-J149)/2</f>
        <v>1.6990400000000014</v>
      </c>
      <c r="K151" s="375">
        <f t="shared" ref="K151" si="42">(L150+K150)*(L149-K149)/2</f>
        <v>0.83593600000000068</v>
      </c>
      <c r="L151" s="375">
        <f t="shared" ref="L151" si="43">(M150+L150)*(M149-L149)/2</f>
        <v>1.7671089999999983</v>
      </c>
      <c r="M151" s="375">
        <f t="shared" ref="M151" si="44">(N150+M150)*(N149-M149)/2</f>
        <v>7.8539500000000276E-2</v>
      </c>
      <c r="N151" s="375">
        <f t="shared" ref="N151" si="45">(O150+N150)*(O149-N149)/2</f>
        <v>0</v>
      </c>
      <c r="O151" s="375">
        <f t="shared" ref="O151" si="46">(P150+O150)*(P149-O149)/2</f>
        <v>0</v>
      </c>
      <c r="P151" s="375">
        <f t="shared" ref="P151" si="47">(Q150+P150)*(Q149-P149)/2</f>
        <v>0</v>
      </c>
      <c r="Q151" s="375">
        <f t="shared" ref="Q151" si="48">(R150+Q150)*(R149-Q149)/2</f>
        <v>0</v>
      </c>
      <c r="R151" s="375">
        <f t="shared" ref="R151" si="49">(S150+R150)*(S149-R149)/2</f>
        <v>0</v>
      </c>
      <c r="S151" s="375">
        <f t="shared" ref="S151" si="50">(T150+S150)*(T149-S149)/2</f>
        <v>0</v>
      </c>
      <c r="T151" s="375">
        <f t="shared" ref="T151" si="51">(U150+T150)*(U149-T149)/2</f>
        <v>0</v>
      </c>
      <c r="U151" s="375">
        <f t="shared" ref="U151" si="52">(V150+U150)*(V149-U149)/2</f>
        <v>0</v>
      </c>
      <c r="V151" s="375">
        <f t="shared" ref="V151" si="53">(W150+V150)*(W149-V149)/2</f>
        <v>0</v>
      </c>
      <c r="W151" s="375">
        <f t="shared" ref="W151" si="54">(X150+W150)*(X149-W149)/2</f>
        <v>0</v>
      </c>
      <c r="X151" s="375">
        <f t="shared" ref="X151" si="55">(Y150+X150)*(Y149-X149)/2</f>
        <v>0</v>
      </c>
      <c r="Y151" s="369"/>
    </row>
    <row r="152" spans="1:26" ht="13.5" thickBot="1" x14ac:dyDescent="0.25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</row>
    <row r="153" spans="1:26" ht="13.5" thickBot="1" x14ac:dyDescent="0.25">
      <c r="A153" s="361" t="s">
        <v>384</v>
      </c>
      <c r="B153" s="359">
        <f>ROW(A153)</f>
        <v>153</v>
      </c>
      <c r="C153" s="363" t="s">
        <v>116</v>
      </c>
      <c r="D153" s="353">
        <f>SUM(B156:Y156)</f>
        <v>55.705884500000003</v>
      </c>
      <c r="E153" s="363" t="s">
        <v>115</v>
      </c>
      <c r="F153" s="354">
        <f>D153/g/J153</f>
        <v>180.84329814241278</v>
      </c>
      <c r="G153" s="363" t="s">
        <v>57</v>
      </c>
      <c r="H153" s="64">
        <v>0.1062</v>
      </c>
      <c r="I153" s="363" t="s">
        <v>270</v>
      </c>
      <c r="J153" s="355">
        <f>H153-L153</f>
        <v>3.1400000000000011E-2</v>
      </c>
      <c r="K153" s="363" t="s">
        <v>271</v>
      </c>
      <c r="L153" s="64">
        <v>7.4799999999999991E-2</v>
      </c>
      <c r="M153" s="363" t="s">
        <v>58</v>
      </c>
      <c r="N153" s="65">
        <v>49</v>
      </c>
      <c r="O153" s="363" t="s">
        <v>60</v>
      </c>
      <c r="P153" s="65">
        <v>49</v>
      </c>
      <c r="Q153" s="363" t="s">
        <v>61</v>
      </c>
      <c r="R153" s="65">
        <v>98</v>
      </c>
      <c r="S153" s="363" t="s">
        <v>62</v>
      </c>
      <c r="T153" s="65">
        <v>29</v>
      </c>
      <c r="U153" s="363" t="s">
        <v>55</v>
      </c>
      <c r="V153" s="66" t="s">
        <v>400</v>
      </c>
      <c r="W153" s="463" t="s">
        <v>394</v>
      </c>
      <c r="X153" s="465">
        <v>0.45</v>
      </c>
      <c r="Y153" s="463" t="s">
        <v>393</v>
      </c>
      <c r="Z153" s="358">
        <v>14</v>
      </c>
    </row>
    <row r="154" spans="1:26" x14ac:dyDescent="0.2">
      <c r="A154" s="362" t="s">
        <v>33</v>
      </c>
      <c r="B154" s="370">
        <v>0</v>
      </c>
      <c r="C154" s="371">
        <v>1.2999999999999999E-2</v>
      </c>
      <c r="D154" s="371">
        <v>1.7000000000000001E-2</v>
      </c>
      <c r="E154" s="371">
        <v>0.04</v>
      </c>
      <c r="F154" s="371">
        <v>0.125</v>
      </c>
      <c r="G154" s="371">
        <v>0.17899999999999999</v>
      </c>
      <c r="H154" s="371">
        <v>0.222</v>
      </c>
      <c r="I154" s="371">
        <v>0.28899999999999998</v>
      </c>
      <c r="J154" s="371">
        <v>0.35399999999999998</v>
      </c>
      <c r="K154" s="371">
        <v>0.39400000000000002</v>
      </c>
      <c r="L154" s="371">
        <v>0.40600000000000003</v>
      </c>
      <c r="M154" s="371">
        <v>0.41599999999999998</v>
      </c>
      <c r="N154" s="371">
        <v>0.42299999999999999</v>
      </c>
      <c r="O154" s="371">
        <v>0.43099999999999999</v>
      </c>
      <c r="P154" s="371">
        <v>0.44700000000000001</v>
      </c>
      <c r="Q154" s="371">
        <v>0.45300000000000001</v>
      </c>
      <c r="R154" s="371">
        <v>0.45500000000000002</v>
      </c>
      <c r="S154" s="371">
        <v>0.45500000000000002</v>
      </c>
      <c r="T154" s="371">
        <v>0.45500000000000002</v>
      </c>
      <c r="U154" s="371">
        <v>0.45500000000000002</v>
      </c>
      <c r="V154" s="371">
        <v>0.45500000000000002</v>
      </c>
      <c r="W154" s="371">
        <v>0.45500000000000002</v>
      </c>
      <c r="X154" s="371">
        <v>2</v>
      </c>
      <c r="Y154" s="381">
        <v>1000</v>
      </c>
    </row>
    <row r="155" spans="1:26" x14ac:dyDescent="0.2">
      <c r="A155" s="378" t="s">
        <v>34</v>
      </c>
      <c r="B155" s="372">
        <v>0</v>
      </c>
      <c r="C155" s="373">
        <v>79.242000000000004</v>
      </c>
      <c r="D155" s="373">
        <v>90.427000000000007</v>
      </c>
      <c r="E155" s="373">
        <v>101.422</v>
      </c>
      <c r="F155" s="373">
        <v>127.583</v>
      </c>
      <c r="G155" s="373">
        <v>136.114</v>
      </c>
      <c r="H155" s="373">
        <v>139.905</v>
      </c>
      <c r="I155" s="373">
        <v>143.50700000000001</v>
      </c>
      <c r="J155" s="373">
        <v>138.578</v>
      </c>
      <c r="K155" s="373">
        <v>125.498</v>
      </c>
      <c r="L155" s="373">
        <v>123.602</v>
      </c>
      <c r="M155" s="373">
        <v>125.11799999999999</v>
      </c>
      <c r="N155" s="373">
        <v>130.047</v>
      </c>
      <c r="O155" s="373">
        <v>120.569</v>
      </c>
      <c r="P155" s="373">
        <v>25.591999999999999</v>
      </c>
      <c r="Q155" s="373">
        <v>8.7200000000000006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  <c r="Y155" s="382">
        <v>0</v>
      </c>
    </row>
    <row r="156" spans="1:26" ht="13.5" thickBot="1" x14ac:dyDescent="0.25">
      <c r="A156" s="379" t="s">
        <v>117</v>
      </c>
      <c r="B156" s="374">
        <f t="shared" ref="B156:X156" si="56">(C155+B155)*(C154-B154)/2</f>
        <v>0.515073</v>
      </c>
      <c r="C156" s="375">
        <f t="shared" si="56"/>
        <v>0.3393380000000002</v>
      </c>
      <c r="D156" s="375">
        <f t="shared" si="56"/>
        <v>2.2062634999999999</v>
      </c>
      <c r="E156" s="375">
        <f t="shared" si="56"/>
        <v>9.7327124999999981</v>
      </c>
      <c r="F156" s="375">
        <f t="shared" si="56"/>
        <v>7.1198189999999988</v>
      </c>
      <c r="G156" s="375">
        <f t="shared" si="56"/>
        <v>5.9344085000000018</v>
      </c>
      <c r="H156" s="375">
        <f t="shared" si="56"/>
        <v>9.4943019999999976</v>
      </c>
      <c r="I156" s="375">
        <f t="shared" si="56"/>
        <v>9.167762500000002</v>
      </c>
      <c r="J156" s="375">
        <f t="shared" si="56"/>
        <v>5.2815200000000049</v>
      </c>
      <c r="K156" s="375">
        <f t="shared" si="56"/>
        <v>1.4946000000000015</v>
      </c>
      <c r="L156" s="375">
        <f t="shared" si="56"/>
        <v>1.2435999999999943</v>
      </c>
      <c r="M156" s="375">
        <f t="shared" si="56"/>
        <v>0.89307750000000075</v>
      </c>
      <c r="N156" s="375">
        <f t="shared" si="56"/>
        <v>1.0024640000000009</v>
      </c>
      <c r="O156" s="375">
        <f t="shared" si="56"/>
        <v>1.169288000000001</v>
      </c>
      <c r="P156" s="375">
        <f t="shared" si="56"/>
        <v>0.10293600000000008</v>
      </c>
      <c r="Q156" s="375">
        <f t="shared" si="56"/>
        <v>8.720000000000009E-3</v>
      </c>
      <c r="R156" s="375">
        <f t="shared" si="56"/>
        <v>0</v>
      </c>
      <c r="S156" s="375">
        <f t="shared" si="56"/>
        <v>0</v>
      </c>
      <c r="T156" s="375">
        <f t="shared" si="56"/>
        <v>0</v>
      </c>
      <c r="U156" s="375">
        <f t="shared" si="56"/>
        <v>0</v>
      </c>
      <c r="V156" s="375">
        <f t="shared" si="56"/>
        <v>0</v>
      </c>
      <c r="W156" s="375">
        <f t="shared" si="56"/>
        <v>0</v>
      </c>
      <c r="X156" s="375">
        <f t="shared" si="56"/>
        <v>0</v>
      </c>
      <c r="Y156" s="369"/>
    </row>
    <row r="157" spans="1:26" ht="13.5" thickBot="1" x14ac:dyDescent="0.25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spans="1:26" ht="13.5" thickBot="1" x14ac:dyDescent="0.25">
      <c r="A158" s="361" t="s">
        <v>385</v>
      </c>
      <c r="B158" s="359">
        <f>ROW(A158)</f>
        <v>158</v>
      </c>
      <c r="C158" s="363" t="s">
        <v>116</v>
      </c>
      <c r="D158" s="353">
        <f>SUM(B161:Y161)</f>
        <v>57.190000000000005</v>
      </c>
      <c r="E158" s="363" t="s">
        <v>115</v>
      </c>
      <c r="F158" s="354">
        <f>D158/g/J158</f>
        <v>188.05695307618953</v>
      </c>
      <c r="G158" s="363" t="s">
        <v>57</v>
      </c>
      <c r="H158" s="64">
        <v>9.9000000000000005E-2</v>
      </c>
      <c r="I158" s="363" t="s">
        <v>270</v>
      </c>
      <c r="J158" s="355">
        <f>H158-L158</f>
        <v>3.1E-2</v>
      </c>
      <c r="K158" s="363" t="s">
        <v>271</v>
      </c>
      <c r="L158" s="64">
        <v>6.8000000000000005E-2</v>
      </c>
      <c r="M158" s="363" t="s">
        <v>58</v>
      </c>
      <c r="N158" s="65">
        <v>49</v>
      </c>
      <c r="O158" s="363" t="s">
        <v>60</v>
      </c>
      <c r="P158" s="65">
        <v>49</v>
      </c>
      <c r="Q158" s="363" t="s">
        <v>61</v>
      </c>
      <c r="R158" s="65">
        <v>98</v>
      </c>
      <c r="S158" s="363" t="s">
        <v>62</v>
      </c>
      <c r="T158" s="65">
        <v>29</v>
      </c>
      <c r="U158" s="363" t="s">
        <v>55</v>
      </c>
      <c r="V158" s="66" t="s">
        <v>400</v>
      </c>
      <c r="W158" s="463" t="s">
        <v>394</v>
      </c>
      <c r="X158" s="465">
        <v>0.96</v>
      </c>
      <c r="Y158" s="463" t="s">
        <v>393</v>
      </c>
      <c r="Z158" s="358">
        <v>12</v>
      </c>
    </row>
    <row r="159" spans="1:26" x14ac:dyDescent="0.2">
      <c r="A159" s="362" t="s">
        <v>33</v>
      </c>
      <c r="B159" s="370">
        <v>0</v>
      </c>
      <c r="C159" s="371">
        <v>0.01</v>
      </c>
      <c r="D159" s="371">
        <v>0.02</v>
      </c>
      <c r="E159" s="371">
        <v>0.03</v>
      </c>
      <c r="F159" s="371">
        <v>0.04</v>
      </c>
      <c r="G159" s="371">
        <v>7.0000000000000007E-2</v>
      </c>
      <c r="H159" s="371">
        <v>0.1</v>
      </c>
      <c r="I159" s="371">
        <v>0.2</v>
      </c>
      <c r="J159" s="371">
        <v>0.3</v>
      </c>
      <c r="K159" s="371">
        <v>0.4</v>
      </c>
      <c r="L159" s="371">
        <v>0.5</v>
      </c>
      <c r="M159" s="371">
        <v>0.6</v>
      </c>
      <c r="N159" s="371">
        <v>0.7</v>
      </c>
      <c r="O159" s="371">
        <v>0.87</v>
      </c>
      <c r="P159" s="371">
        <v>0.9</v>
      </c>
      <c r="Q159" s="371">
        <v>0.97</v>
      </c>
      <c r="R159" s="371">
        <v>0.97</v>
      </c>
      <c r="S159" s="371">
        <v>0.97</v>
      </c>
      <c r="T159" s="371">
        <v>0.97</v>
      </c>
      <c r="U159" s="371">
        <v>0.97</v>
      </c>
      <c r="V159" s="371">
        <v>0.97</v>
      </c>
      <c r="W159" s="371">
        <v>0.97</v>
      </c>
      <c r="X159" s="371">
        <v>2</v>
      </c>
      <c r="Y159" s="381">
        <v>1000</v>
      </c>
    </row>
    <row r="160" spans="1:26" x14ac:dyDescent="0.2">
      <c r="A160" s="378" t="s">
        <v>34</v>
      </c>
      <c r="B160" s="372">
        <v>0</v>
      </c>
      <c r="C160" s="373">
        <v>16</v>
      </c>
      <c r="D160" s="373">
        <v>62</v>
      </c>
      <c r="E160" s="373">
        <v>67</v>
      </c>
      <c r="F160" s="373">
        <v>71</v>
      </c>
      <c r="G160" s="373">
        <v>58</v>
      </c>
      <c r="H160" s="373">
        <v>63</v>
      </c>
      <c r="I160" s="373">
        <v>67</v>
      </c>
      <c r="J160" s="373">
        <v>69</v>
      </c>
      <c r="K160" s="373">
        <v>67</v>
      </c>
      <c r="L160" s="373">
        <v>65</v>
      </c>
      <c r="M160" s="373">
        <v>63</v>
      </c>
      <c r="N160" s="373">
        <v>61</v>
      </c>
      <c r="O160" s="373">
        <v>60</v>
      </c>
      <c r="P160" s="373">
        <v>23</v>
      </c>
      <c r="Q160" s="373">
        <v>0</v>
      </c>
      <c r="R160" s="373">
        <v>0</v>
      </c>
      <c r="S160" s="373">
        <v>0</v>
      </c>
      <c r="T160" s="373">
        <v>0</v>
      </c>
      <c r="U160" s="373">
        <v>0</v>
      </c>
      <c r="V160" s="373">
        <v>0</v>
      </c>
      <c r="W160" s="373">
        <v>0</v>
      </c>
      <c r="X160" s="373">
        <v>0</v>
      </c>
      <c r="Y160" s="382">
        <v>0</v>
      </c>
    </row>
    <row r="161" spans="1:26" ht="13.5" thickBot="1" x14ac:dyDescent="0.25">
      <c r="A161" s="379" t="s">
        <v>117</v>
      </c>
      <c r="B161" s="374">
        <f t="shared" ref="B161:X161" si="57">(C160+B160)*(C159-B159)/2</f>
        <v>0.08</v>
      </c>
      <c r="C161" s="375">
        <f t="shared" si="57"/>
        <v>0.39</v>
      </c>
      <c r="D161" s="375">
        <f t="shared" si="57"/>
        <v>0.64499999999999991</v>
      </c>
      <c r="E161" s="375">
        <f t="shared" si="57"/>
        <v>0.69000000000000017</v>
      </c>
      <c r="F161" s="375">
        <f t="shared" si="57"/>
        <v>1.9350000000000003</v>
      </c>
      <c r="G161" s="375">
        <f t="shared" si="57"/>
        <v>1.8149999999999999</v>
      </c>
      <c r="H161" s="375">
        <f t="shared" si="57"/>
        <v>6.5</v>
      </c>
      <c r="I161" s="375">
        <f t="shared" si="57"/>
        <v>6.7999999999999989</v>
      </c>
      <c r="J161" s="375">
        <f t="shared" si="57"/>
        <v>6.8000000000000025</v>
      </c>
      <c r="K161" s="375">
        <f t="shared" si="57"/>
        <v>6.5999999999999988</v>
      </c>
      <c r="L161" s="375">
        <f t="shared" si="57"/>
        <v>6.3999999999999986</v>
      </c>
      <c r="M161" s="375">
        <f t="shared" si="57"/>
        <v>6.1999999999999984</v>
      </c>
      <c r="N161" s="375">
        <f t="shared" si="57"/>
        <v>10.285000000000002</v>
      </c>
      <c r="O161" s="375">
        <f t="shared" si="57"/>
        <v>1.245000000000001</v>
      </c>
      <c r="P161" s="375">
        <f t="shared" si="57"/>
        <v>0.80499999999999949</v>
      </c>
      <c r="Q161" s="375">
        <f t="shared" si="57"/>
        <v>0</v>
      </c>
      <c r="R161" s="375">
        <f t="shared" si="57"/>
        <v>0</v>
      </c>
      <c r="S161" s="375">
        <f t="shared" si="57"/>
        <v>0</v>
      </c>
      <c r="T161" s="375">
        <f t="shared" si="57"/>
        <v>0</v>
      </c>
      <c r="U161" s="375">
        <f t="shared" si="57"/>
        <v>0</v>
      </c>
      <c r="V161" s="375">
        <f t="shared" si="57"/>
        <v>0</v>
      </c>
      <c r="W161" s="375">
        <f t="shared" si="57"/>
        <v>0</v>
      </c>
      <c r="X161" s="375">
        <f t="shared" si="57"/>
        <v>0</v>
      </c>
      <c r="Y161" s="369"/>
    </row>
    <row r="162" spans="1:26" ht="13.5" thickBot="1" x14ac:dyDescent="0.25">
      <c r="A162" s="6" t="s">
        <v>314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</row>
    <row r="163" spans="1:26" ht="13.5" thickBot="1" x14ac:dyDescent="0.25">
      <c r="A163" s="361" t="s">
        <v>321</v>
      </c>
      <c r="B163" s="359">
        <f>ROW(A163)</f>
        <v>163</v>
      </c>
      <c r="C163" s="363" t="s">
        <v>116</v>
      </c>
      <c r="D163" s="353">
        <f>SUM(B166:Y166)</f>
        <v>59.702267000000006</v>
      </c>
      <c r="E163" s="363" t="s">
        <v>115</v>
      </c>
      <c r="F163" s="354">
        <f>D163/g/J163</f>
        <v>190.77924771281306</v>
      </c>
      <c r="G163" s="363" t="s">
        <v>57</v>
      </c>
      <c r="H163" s="64">
        <v>9.3899999999999997E-2</v>
      </c>
      <c r="I163" s="363" t="s">
        <v>270</v>
      </c>
      <c r="J163" s="355">
        <f>H163-L163</f>
        <v>3.1899999999999998E-2</v>
      </c>
      <c r="K163" s="363" t="s">
        <v>271</v>
      </c>
      <c r="L163" s="64">
        <f>0.095-0.033</f>
        <v>6.2E-2</v>
      </c>
      <c r="M163" s="363" t="s">
        <v>58</v>
      </c>
      <c r="N163" s="396">
        <v>66.5</v>
      </c>
      <c r="O163" s="363" t="s">
        <v>60</v>
      </c>
      <c r="P163" s="396">
        <v>66.5</v>
      </c>
      <c r="Q163" s="363" t="s">
        <v>61</v>
      </c>
      <c r="R163" s="65">
        <v>133</v>
      </c>
      <c r="S163" s="363" t="s">
        <v>62</v>
      </c>
      <c r="T163" s="65">
        <v>24</v>
      </c>
      <c r="U163" s="363" t="s">
        <v>55</v>
      </c>
      <c r="V163" s="66" t="s">
        <v>399</v>
      </c>
      <c r="W163" s="463" t="s">
        <v>394</v>
      </c>
      <c r="X163" s="465">
        <v>1.2</v>
      </c>
      <c r="Y163" s="463" t="s">
        <v>393</v>
      </c>
      <c r="Z163" s="358">
        <v>13</v>
      </c>
    </row>
    <row r="164" spans="1:26" x14ac:dyDescent="0.2">
      <c r="A164" s="362" t="s">
        <v>33</v>
      </c>
      <c r="B164" s="370">
        <v>0</v>
      </c>
      <c r="C164" s="371">
        <v>1.4999999999999999E-2</v>
      </c>
      <c r="D164" s="371">
        <v>2.1999999999999999E-2</v>
      </c>
      <c r="E164" s="371">
        <v>6.4000000000000001E-2</v>
      </c>
      <c r="F164" s="371">
        <v>0.11799999999999999</v>
      </c>
      <c r="G164" s="371">
        <v>0.34200000000000003</v>
      </c>
      <c r="H164" s="371">
        <v>0.53600000000000003</v>
      </c>
      <c r="I164" s="371">
        <v>0.74299999999999999</v>
      </c>
      <c r="J164" s="371">
        <v>0.88400000000000001</v>
      </c>
      <c r="K164" s="371">
        <v>0.97599999999999998</v>
      </c>
      <c r="L164" s="371">
        <v>1.0960000000000001</v>
      </c>
      <c r="M164" s="371">
        <v>1.246</v>
      </c>
      <c r="N164" s="371">
        <v>1.298</v>
      </c>
      <c r="O164" s="371">
        <v>2</v>
      </c>
      <c r="P164" s="371">
        <v>2</v>
      </c>
      <c r="Q164" s="371">
        <v>2</v>
      </c>
      <c r="R164" s="371">
        <v>2</v>
      </c>
      <c r="S164" s="371">
        <v>2</v>
      </c>
      <c r="T164" s="371">
        <v>2</v>
      </c>
      <c r="U164" s="371">
        <v>2</v>
      </c>
      <c r="V164" s="371">
        <v>2</v>
      </c>
      <c r="W164" s="371">
        <v>2</v>
      </c>
      <c r="X164" s="371">
        <f t="shared" ref="T164:X165" si="58">W164</f>
        <v>2</v>
      </c>
      <c r="Y164" s="381">
        <v>1000</v>
      </c>
    </row>
    <row r="165" spans="1:26" x14ac:dyDescent="0.2">
      <c r="A165" s="378" t="s">
        <v>34</v>
      </c>
      <c r="B165" s="372">
        <v>0</v>
      </c>
      <c r="C165" s="373">
        <v>64.981999999999999</v>
      </c>
      <c r="D165" s="373">
        <v>69.516000000000005</v>
      </c>
      <c r="E165" s="373">
        <v>55.536999999999999</v>
      </c>
      <c r="F165" s="373">
        <v>62.81</v>
      </c>
      <c r="G165" s="373">
        <v>62.149000000000001</v>
      </c>
      <c r="H165" s="373">
        <v>59.41</v>
      </c>
      <c r="I165" s="373">
        <v>53.837000000000003</v>
      </c>
      <c r="J165" s="373">
        <v>46.942</v>
      </c>
      <c r="K165" s="373">
        <v>40.046999999999997</v>
      </c>
      <c r="L165" s="373">
        <v>12.561999999999999</v>
      </c>
      <c r="M165" s="373">
        <v>2.0779999999999998</v>
      </c>
      <c r="N165" s="373">
        <v>0</v>
      </c>
      <c r="O165" s="373">
        <v>0</v>
      </c>
      <c r="P165" s="373">
        <v>0</v>
      </c>
      <c r="Q165" s="373">
        <v>0</v>
      </c>
      <c r="R165" s="373">
        <v>0</v>
      </c>
      <c r="S165" s="373">
        <v>0</v>
      </c>
      <c r="T165" s="373">
        <f t="shared" si="58"/>
        <v>0</v>
      </c>
      <c r="U165" s="373">
        <f t="shared" si="58"/>
        <v>0</v>
      </c>
      <c r="V165" s="373">
        <f t="shared" si="58"/>
        <v>0</v>
      </c>
      <c r="W165" s="373">
        <f t="shared" si="58"/>
        <v>0</v>
      </c>
      <c r="X165" s="373">
        <f t="shared" si="58"/>
        <v>0</v>
      </c>
      <c r="Y165" s="382">
        <v>0</v>
      </c>
    </row>
    <row r="166" spans="1:26" ht="13.5" thickBot="1" x14ac:dyDescent="0.25">
      <c r="A166" s="379" t="s">
        <v>117</v>
      </c>
      <c r="B166" s="374">
        <f t="shared" ref="B166:V166" si="59">(C165+B165)*(C164-B164)/2</f>
        <v>0.48736499999999999</v>
      </c>
      <c r="C166" s="375">
        <f t="shared" si="59"/>
        <v>0.47074299999999991</v>
      </c>
      <c r="D166" s="375">
        <f t="shared" si="59"/>
        <v>2.6261130000000001</v>
      </c>
      <c r="E166" s="375">
        <f t="shared" si="59"/>
        <v>3.1953689999999999</v>
      </c>
      <c r="F166" s="375">
        <f t="shared" si="59"/>
        <v>13.995408000000003</v>
      </c>
      <c r="G166" s="375">
        <f t="shared" si="59"/>
        <v>11.791223</v>
      </c>
      <c r="H166" s="375">
        <f t="shared" si="59"/>
        <v>11.721064499999997</v>
      </c>
      <c r="I166" s="375">
        <f t="shared" si="59"/>
        <v>7.1049195000000003</v>
      </c>
      <c r="J166" s="375">
        <f>(K165+J165)*(K164-J164)/2</f>
        <v>4.0014939999999992</v>
      </c>
      <c r="K166" s="375">
        <f t="shared" si="59"/>
        <v>3.1565400000000023</v>
      </c>
      <c r="L166" s="375">
        <f t="shared" si="59"/>
        <v>1.0979999999999992</v>
      </c>
      <c r="M166" s="375">
        <f t="shared" si="59"/>
        <v>5.4028000000000041E-2</v>
      </c>
      <c r="N166" s="375">
        <f t="shared" si="59"/>
        <v>0</v>
      </c>
      <c r="O166" s="375">
        <f t="shared" si="59"/>
        <v>0</v>
      </c>
      <c r="P166" s="375">
        <f t="shared" si="59"/>
        <v>0</v>
      </c>
      <c r="Q166" s="375">
        <f t="shared" si="59"/>
        <v>0</v>
      </c>
      <c r="R166" s="375">
        <f t="shared" si="59"/>
        <v>0</v>
      </c>
      <c r="S166" s="375">
        <f>(T165+S165)*(T164-S164)/2</f>
        <v>0</v>
      </c>
      <c r="T166" s="375">
        <f t="shared" si="59"/>
        <v>0</v>
      </c>
      <c r="U166" s="375">
        <f t="shared" si="59"/>
        <v>0</v>
      </c>
      <c r="V166" s="375">
        <f t="shared" si="59"/>
        <v>0</v>
      </c>
      <c r="W166" s="375">
        <f>(X165+W165)*(X164-W164)/2</f>
        <v>0</v>
      </c>
      <c r="X166" s="375">
        <f>(Y165+X165)*(Y164-X164)/2</f>
        <v>0</v>
      </c>
      <c r="Y166" s="369"/>
    </row>
    <row r="167" spans="1:26" ht="13.5" thickBot="1" x14ac:dyDescent="0.25"/>
    <row r="168" spans="1:26" ht="13.5" thickBot="1" x14ac:dyDescent="0.25">
      <c r="A168" s="361" t="s">
        <v>322</v>
      </c>
      <c r="B168" s="359">
        <f>ROW(A168)</f>
        <v>168</v>
      </c>
      <c r="C168" s="363" t="s">
        <v>116</v>
      </c>
      <c r="D168" s="353">
        <f>SUM(B171:Y171)</f>
        <v>68.380602999999994</v>
      </c>
      <c r="E168" s="363" t="s">
        <v>115</v>
      </c>
      <c r="F168" s="354">
        <f>D168/g/J168</f>
        <v>134.04807300243078</v>
      </c>
      <c r="G168" s="363" t="s">
        <v>57</v>
      </c>
      <c r="H168" s="64">
        <v>0.1075</v>
      </c>
      <c r="I168" s="363" t="s">
        <v>270</v>
      </c>
      <c r="J168" s="355">
        <f>H168-L168</f>
        <v>5.1999999999999998E-2</v>
      </c>
      <c r="K168" s="363" t="s">
        <v>271</v>
      </c>
      <c r="L168" s="64">
        <v>5.5500000000000001E-2</v>
      </c>
      <c r="M168" s="363" t="s">
        <v>58</v>
      </c>
      <c r="N168" s="396">
        <v>66.5</v>
      </c>
      <c r="O168" s="363" t="s">
        <v>60</v>
      </c>
      <c r="P168" s="396">
        <v>66.5</v>
      </c>
      <c r="Q168" s="363" t="s">
        <v>61</v>
      </c>
      <c r="R168" s="65">
        <v>133</v>
      </c>
      <c r="S168" s="363" t="s">
        <v>62</v>
      </c>
      <c r="T168" s="65">
        <v>24</v>
      </c>
      <c r="U168" s="363" t="s">
        <v>55</v>
      </c>
      <c r="V168" s="66" t="s">
        <v>399</v>
      </c>
      <c r="W168" s="463" t="s">
        <v>394</v>
      </c>
      <c r="X168" s="465">
        <v>0.86</v>
      </c>
      <c r="Y168" s="463" t="s">
        <v>393</v>
      </c>
      <c r="Z168" s="358">
        <v>13</v>
      </c>
    </row>
    <row r="169" spans="1:26" x14ac:dyDescent="0.2">
      <c r="A169" s="362" t="s">
        <v>33</v>
      </c>
      <c r="B169" s="370">
        <v>0</v>
      </c>
      <c r="C169" s="371">
        <v>5.0000000000000001E-3</v>
      </c>
      <c r="D169" s="371">
        <v>1.2999999999999999E-2</v>
      </c>
      <c r="E169" s="371">
        <v>2.1999999999999999E-2</v>
      </c>
      <c r="F169" s="371">
        <v>4.2999999999999997E-2</v>
      </c>
      <c r="G169" s="371">
        <v>0.11899999999999999</v>
      </c>
      <c r="H169" s="371">
        <v>0.19800000000000001</v>
      </c>
      <c r="I169" s="371">
        <v>0.26700000000000002</v>
      </c>
      <c r="J169" s="371">
        <v>0.34300000000000003</v>
      </c>
      <c r="K169" s="371">
        <v>0.40400000000000003</v>
      </c>
      <c r="L169" s="371">
        <v>0.498</v>
      </c>
      <c r="M169" s="371">
        <v>0.55500000000000005</v>
      </c>
      <c r="N169" s="371">
        <v>0.622</v>
      </c>
      <c r="O169" s="371">
        <v>0.66300000000000003</v>
      </c>
      <c r="P169" s="371">
        <v>0.70399999999999996</v>
      </c>
      <c r="Q169" s="371">
        <v>0.72899999999999998</v>
      </c>
      <c r="R169" s="371">
        <v>0.747</v>
      </c>
      <c r="S169" s="371">
        <v>0.76800000000000002</v>
      </c>
      <c r="T169" s="371">
        <v>0.82099999999999995</v>
      </c>
      <c r="U169" s="371">
        <v>0.85199999999999998</v>
      </c>
      <c r="V169" s="371">
        <v>0.89200000000000002</v>
      </c>
      <c r="W169" s="371">
        <v>1</v>
      </c>
      <c r="X169" s="371">
        <v>2</v>
      </c>
      <c r="Y169" s="381">
        <v>1000</v>
      </c>
    </row>
    <row r="170" spans="1:26" x14ac:dyDescent="0.2">
      <c r="A170" s="378" t="s">
        <v>34</v>
      </c>
      <c r="B170" s="372">
        <v>0</v>
      </c>
      <c r="C170" s="373">
        <v>60</v>
      </c>
      <c r="D170" s="373">
        <v>89.007000000000005</v>
      </c>
      <c r="E170" s="373">
        <v>96.290999999999997</v>
      </c>
      <c r="F170" s="373">
        <v>81.721999999999994</v>
      </c>
      <c r="G170" s="373">
        <v>85.563000000000002</v>
      </c>
      <c r="H170" s="373">
        <v>87.947000000000003</v>
      </c>
      <c r="I170" s="373">
        <v>89.272000000000006</v>
      </c>
      <c r="J170" s="373">
        <v>89.933999999999997</v>
      </c>
      <c r="K170" s="373">
        <v>90.861000000000004</v>
      </c>
      <c r="L170" s="373">
        <v>91.522999999999996</v>
      </c>
      <c r="M170" s="373">
        <v>89.668999999999997</v>
      </c>
      <c r="N170" s="373">
        <v>83.974000000000004</v>
      </c>
      <c r="O170" s="373">
        <v>80.53</v>
      </c>
      <c r="P170" s="373">
        <v>78.94</v>
      </c>
      <c r="Q170" s="373">
        <v>74.171999999999997</v>
      </c>
      <c r="R170" s="373">
        <v>66.887</v>
      </c>
      <c r="S170" s="373">
        <v>53.774999999999999</v>
      </c>
      <c r="T170" s="373">
        <v>18.542999999999999</v>
      </c>
      <c r="U170" s="373">
        <v>7.8150000000000004</v>
      </c>
      <c r="V170" s="373">
        <v>2.1190000000000002</v>
      </c>
      <c r="W170" s="373">
        <v>0</v>
      </c>
      <c r="X170" s="373">
        <v>0</v>
      </c>
      <c r="Y170" s="382">
        <v>0</v>
      </c>
    </row>
    <row r="171" spans="1:26" ht="13.5" thickBot="1" x14ac:dyDescent="0.25">
      <c r="A171" s="379" t="s">
        <v>117</v>
      </c>
      <c r="B171" s="374">
        <f t="shared" ref="B171:X171" si="60">(C170+B170)*(C169-B169)/2</f>
        <v>0.15</v>
      </c>
      <c r="C171" s="375">
        <f t="shared" si="60"/>
        <v>0.596028</v>
      </c>
      <c r="D171" s="375">
        <f t="shared" si="60"/>
        <v>0.83384099999999994</v>
      </c>
      <c r="E171" s="375">
        <f t="shared" si="60"/>
        <v>1.8691364999999995</v>
      </c>
      <c r="F171" s="375">
        <f t="shared" si="60"/>
        <v>6.3568299999999995</v>
      </c>
      <c r="G171" s="375">
        <f t="shared" si="60"/>
        <v>6.8536450000000011</v>
      </c>
      <c r="H171" s="375">
        <f t="shared" si="60"/>
        <v>6.1140555000000001</v>
      </c>
      <c r="I171" s="375">
        <f t="shared" si="60"/>
        <v>6.8098280000000013</v>
      </c>
      <c r="J171" s="375">
        <f t="shared" si="60"/>
        <v>5.5142475000000006</v>
      </c>
      <c r="K171" s="375">
        <f t="shared" si="60"/>
        <v>8.5720479999999988</v>
      </c>
      <c r="L171" s="375">
        <f t="shared" si="60"/>
        <v>5.1639720000000047</v>
      </c>
      <c r="M171" s="375">
        <f t="shared" si="60"/>
        <v>5.8170404999999956</v>
      </c>
      <c r="N171" s="375">
        <f t="shared" si="60"/>
        <v>3.3723320000000032</v>
      </c>
      <c r="O171" s="375">
        <f t="shared" si="60"/>
        <v>3.2691349999999941</v>
      </c>
      <c r="P171" s="375">
        <f t="shared" si="60"/>
        <v>1.9139000000000017</v>
      </c>
      <c r="Q171" s="375">
        <f t="shared" si="60"/>
        <v>1.2695310000000011</v>
      </c>
      <c r="R171" s="375">
        <f t="shared" si="60"/>
        <v>1.2669510000000013</v>
      </c>
      <c r="S171" s="375">
        <f t="shared" si="60"/>
        <v>1.9164269999999977</v>
      </c>
      <c r="T171" s="375">
        <f t="shared" si="60"/>
        <v>0.40854900000000038</v>
      </c>
      <c r="U171" s="375">
        <f t="shared" si="60"/>
        <v>0.19868000000000019</v>
      </c>
      <c r="V171" s="375">
        <f t="shared" si="60"/>
        <v>0.114426</v>
      </c>
      <c r="W171" s="375">
        <f t="shared" si="60"/>
        <v>0</v>
      </c>
      <c r="X171" s="375">
        <f t="shared" si="60"/>
        <v>0</v>
      </c>
      <c r="Y171" s="369"/>
    </row>
    <row r="172" spans="1:26" ht="13.5" thickBot="1" x14ac:dyDescent="0.25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spans="1:26" ht="13.5" thickBot="1" x14ac:dyDescent="0.25">
      <c r="A173" s="361" t="s">
        <v>323</v>
      </c>
      <c r="B173" s="359">
        <f>ROW(A173)</f>
        <v>173</v>
      </c>
      <c r="C173" s="363" t="s">
        <v>116</v>
      </c>
      <c r="D173" s="353">
        <f>SUM(B176:Y176)</f>
        <v>67.985428500000012</v>
      </c>
      <c r="E173" s="363" t="s">
        <v>115</v>
      </c>
      <c r="F173" s="354">
        <f>D173/g/J173</f>
        <v>181.89545859519862</v>
      </c>
      <c r="G173" s="363" t="s">
        <v>57</v>
      </c>
      <c r="H173" s="64">
        <v>9.1799999999999993E-2</v>
      </c>
      <c r="I173" s="363" t="s">
        <v>270</v>
      </c>
      <c r="J173" s="355">
        <f>H173-L173</f>
        <v>3.8099999999999988E-2</v>
      </c>
      <c r="K173" s="363" t="s">
        <v>271</v>
      </c>
      <c r="L173" s="64">
        <v>5.3700000000000005E-2</v>
      </c>
      <c r="M173" s="363" t="s">
        <v>58</v>
      </c>
      <c r="N173" s="396">
        <v>66.5</v>
      </c>
      <c r="O173" s="363" t="s">
        <v>60</v>
      </c>
      <c r="P173" s="396">
        <v>66.5</v>
      </c>
      <c r="Q173" s="363" t="s">
        <v>61</v>
      </c>
      <c r="R173" s="65">
        <v>133</v>
      </c>
      <c r="S173" s="363" t="s">
        <v>62</v>
      </c>
      <c r="T173" s="65">
        <v>24</v>
      </c>
      <c r="U173" s="363" t="s">
        <v>55</v>
      </c>
      <c r="V173" s="66" t="s">
        <v>399</v>
      </c>
      <c r="W173" s="463" t="s">
        <v>394</v>
      </c>
      <c r="X173" s="465">
        <v>0.33</v>
      </c>
      <c r="Y173" s="463" t="s">
        <v>393</v>
      </c>
      <c r="Z173" s="358">
        <v>15</v>
      </c>
    </row>
    <row r="174" spans="1:26" x14ac:dyDescent="0.2">
      <c r="A174" s="362" t="s">
        <v>33</v>
      </c>
      <c r="B174" s="370">
        <v>0</v>
      </c>
      <c r="C174" s="371">
        <v>4.0000000000000001E-3</v>
      </c>
      <c r="D174" s="371">
        <v>7.0000000000000001E-3</v>
      </c>
      <c r="E174" s="371">
        <v>0.01</v>
      </c>
      <c r="F174" s="371">
        <v>2.1999999999999999E-2</v>
      </c>
      <c r="G174" s="371">
        <v>2.8000000000000001E-2</v>
      </c>
      <c r="H174" s="371">
        <v>4.1000000000000002E-2</v>
      </c>
      <c r="I174" s="371">
        <v>5.8000000000000003E-2</v>
      </c>
      <c r="J174" s="371">
        <v>7.6999999999999999E-2</v>
      </c>
      <c r="K174" s="371">
        <v>8.8999999999999996E-2</v>
      </c>
      <c r="L174" s="371">
        <v>9.7000000000000003E-2</v>
      </c>
      <c r="M174" s="371">
        <v>0.11899999999999999</v>
      </c>
      <c r="N174" s="371">
        <v>0.14699999999999999</v>
      </c>
      <c r="O174" s="371">
        <v>0.17699999999999999</v>
      </c>
      <c r="P174" s="371">
        <v>0.20699999999999999</v>
      </c>
      <c r="Q174" s="371">
        <v>0.253</v>
      </c>
      <c r="R174" s="371">
        <v>0.25900000000000001</v>
      </c>
      <c r="S174" s="371">
        <v>0.27200000000000002</v>
      </c>
      <c r="T174" s="371">
        <v>0.28000000000000003</v>
      </c>
      <c r="U174" s="371">
        <v>0.28599999999999998</v>
      </c>
      <c r="V174" s="371">
        <v>0.29399999999999998</v>
      </c>
      <c r="W174" s="371">
        <v>0.32800000000000001</v>
      </c>
      <c r="X174" s="371">
        <v>2</v>
      </c>
      <c r="Y174" s="381">
        <v>1000</v>
      </c>
    </row>
    <row r="175" spans="1:26" x14ac:dyDescent="0.2">
      <c r="A175" s="378" t="s">
        <v>34</v>
      </c>
      <c r="B175" s="372">
        <v>0</v>
      </c>
      <c r="C175" s="376">
        <v>100.52800000000001</v>
      </c>
      <c r="D175" s="376">
        <v>197.49299999999999</v>
      </c>
      <c r="E175" s="376">
        <v>222.03200000000001</v>
      </c>
      <c r="F175" s="376">
        <v>241.42500000000001</v>
      </c>
      <c r="G175" s="376">
        <v>237.863</v>
      </c>
      <c r="H175" s="376">
        <v>239.446</v>
      </c>
      <c r="I175" s="376">
        <v>252.50700000000001</v>
      </c>
      <c r="J175" s="376">
        <v>263.98399999999998</v>
      </c>
      <c r="K175" s="376">
        <v>275.46199999999999</v>
      </c>
      <c r="L175" s="376">
        <v>271.50400000000002</v>
      </c>
      <c r="M175" s="376">
        <v>278.62799999999999</v>
      </c>
      <c r="N175" s="376">
        <v>281.39800000000002</v>
      </c>
      <c r="O175" s="376">
        <v>272.29599999999999</v>
      </c>
      <c r="P175" s="376">
        <v>258.44299999999998</v>
      </c>
      <c r="Q175" s="376">
        <v>218.47</v>
      </c>
      <c r="R175" s="376">
        <v>188.786</v>
      </c>
      <c r="S175" s="376">
        <v>74.802000000000007</v>
      </c>
      <c r="T175" s="376">
        <v>31.265999999999998</v>
      </c>
      <c r="U175" s="376">
        <v>15.831</v>
      </c>
      <c r="V175" s="376">
        <v>8.7070000000000007</v>
      </c>
      <c r="W175" s="376">
        <v>0</v>
      </c>
      <c r="X175" s="373">
        <v>0</v>
      </c>
      <c r="Y175" s="382">
        <v>0</v>
      </c>
    </row>
    <row r="176" spans="1:26" ht="13.5" thickBot="1" x14ac:dyDescent="0.25">
      <c r="A176" s="379" t="s">
        <v>117</v>
      </c>
      <c r="B176" s="374">
        <f t="shared" ref="B176:X176" si="61">(C175+B175)*(C174-B174)/2</f>
        <v>0.20105600000000001</v>
      </c>
      <c r="C176" s="375">
        <f t="shared" si="61"/>
        <v>0.44703150000000003</v>
      </c>
      <c r="D176" s="375">
        <f t="shared" si="61"/>
        <v>0.6292875</v>
      </c>
      <c r="E176" s="375">
        <f t="shared" si="61"/>
        <v>2.7807419999999996</v>
      </c>
      <c r="F176" s="375">
        <f t="shared" si="61"/>
        <v>1.4378640000000005</v>
      </c>
      <c r="G176" s="375">
        <f t="shared" si="61"/>
        <v>3.1025084999999999</v>
      </c>
      <c r="H176" s="375">
        <f t="shared" si="61"/>
        <v>4.1816005000000001</v>
      </c>
      <c r="I176" s="375">
        <f t="shared" si="61"/>
        <v>4.9066644999999989</v>
      </c>
      <c r="J176" s="375">
        <f t="shared" si="61"/>
        <v>3.2366759999999988</v>
      </c>
      <c r="K176" s="375">
        <f t="shared" si="61"/>
        <v>2.187864000000002</v>
      </c>
      <c r="L176" s="375">
        <f t="shared" si="61"/>
        <v>6.0514519999999985</v>
      </c>
      <c r="M176" s="375">
        <f t="shared" si="61"/>
        <v>7.8403640000000001</v>
      </c>
      <c r="N176" s="375">
        <f t="shared" si="61"/>
        <v>8.3054099999999984</v>
      </c>
      <c r="O176" s="375">
        <f t="shared" si="61"/>
        <v>7.9610850000000006</v>
      </c>
      <c r="P176" s="375">
        <f t="shared" si="61"/>
        <v>10.968999000000004</v>
      </c>
      <c r="Q176" s="375">
        <f t="shared" si="61"/>
        <v>1.2217680000000011</v>
      </c>
      <c r="R176" s="375">
        <f t="shared" si="61"/>
        <v>1.7133220000000016</v>
      </c>
      <c r="S176" s="375">
        <f t="shared" si="61"/>
        <v>0.42427200000000043</v>
      </c>
      <c r="T176" s="375">
        <f t="shared" si="61"/>
        <v>0.14129099999999881</v>
      </c>
      <c r="U176" s="375">
        <f t="shared" si="61"/>
        <v>9.8152000000000086E-2</v>
      </c>
      <c r="V176" s="375">
        <f t="shared" si="61"/>
        <v>0.14801900000000015</v>
      </c>
      <c r="W176" s="375">
        <f t="shared" si="61"/>
        <v>0</v>
      </c>
      <c r="X176" s="375">
        <f t="shared" si="61"/>
        <v>0</v>
      </c>
      <c r="Y176" s="369"/>
    </row>
    <row r="177" spans="1:26" ht="13.5" thickBot="1" x14ac:dyDescent="0.25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</row>
    <row r="178" spans="1:26" ht="13.5" thickBot="1" x14ac:dyDescent="0.25">
      <c r="A178" s="361" t="s">
        <v>324</v>
      </c>
      <c r="B178" s="359">
        <f>ROW(A178)</f>
        <v>178</v>
      </c>
      <c r="C178" s="363" t="s">
        <v>116</v>
      </c>
      <c r="D178" s="353">
        <f>SUM(B181:Y181)</f>
        <v>73.557381500000005</v>
      </c>
      <c r="E178" s="363" t="s">
        <v>115</v>
      </c>
      <c r="F178" s="354">
        <f>D178/g/J178</f>
        <v>156.86619302308719</v>
      </c>
      <c r="G178" s="363" t="s">
        <v>57</v>
      </c>
      <c r="H178" s="64">
        <v>0.1022</v>
      </c>
      <c r="I178" s="363" t="s">
        <v>270</v>
      </c>
      <c r="J178" s="355">
        <f>H178-L178</f>
        <v>4.7800000000000002E-2</v>
      </c>
      <c r="K178" s="363" t="s">
        <v>271</v>
      </c>
      <c r="L178" s="64">
        <v>5.4399999999999997E-2</v>
      </c>
      <c r="M178" s="363" t="s">
        <v>58</v>
      </c>
      <c r="N178" s="396">
        <v>66.5</v>
      </c>
      <c r="O178" s="363" t="s">
        <v>60</v>
      </c>
      <c r="P178" s="396">
        <v>66.5</v>
      </c>
      <c r="Q178" s="363" t="s">
        <v>61</v>
      </c>
      <c r="R178" s="65">
        <v>133</v>
      </c>
      <c r="S178" s="363" t="s">
        <v>62</v>
      </c>
      <c r="T178" s="65">
        <v>24</v>
      </c>
      <c r="U178" s="363" t="s">
        <v>55</v>
      </c>
      <c r="V178" s="66" t="s">
        <v>399</v>
      </c>
      <c r="W178" s="463" t="s">
        <v>394</v>
      </c>
      <c r="X178" s="465">
        <v>2.36</v>
      </c>
      <c r="Y178" s="463" t="s">
        <v>393</v>
      </c>
      <c r="Z178" s="358">
        <v>6</v>
      </c>
    </row>
    <row r="179" spans="1:26" x14ac:dyDescent="0.2">
      <c r="A179" s="362" t="s">
        <v>33</v>
      </c>
      <c r="B179" s="370">
        <v>0</v>
      </c>
      <c r="C179" s="371">
        <v>1.4E-2</v>
      </c>
      <c r="D179" s="371">
        <v>5.6000000000000001E-2</v>
      </c>
      <c r="E179" s="371">
        <v>9.1999999999999998E-2</v>
      </c>
      <c r="F179" s="371">
        <v>0.16</v>
      </c>
      <c r="G179" s="371">
        <v>0.23200000000000001</v>
      </c>
      <c r="H179" s="371">
        <v>0.36299999999999999</v>
      </c>
      <c r="I179" s="371">
        <v>0.499</v>
      </c>
      <c r="J179" s="371">
        <v>0.65500000000000003</v>
      </c>
      <c r="K179" s="371">
        <v>0.84299999999999997</v>
      </c>
      <c r="L179" s="371">
        <v>1.216</v>
      </c>
      <c r="M179" s="371">
        <v>1.3680000000000001</v>
      </c>
      <c r="N179" s="371">
        <v>1.54</v>
      </c>
      <c r="O179" s="371">
        <v>1.675</v>
      </c>
      <c r="P179" s="371">
        <v>1.861</v>
      </c>
      <c r="Q179" s="371">
        <v>2.0129999999999999</v>
      </c>
      <c r="R179" s="371">
        <v>2.1589999999999998</v>
      </c>
      <c r="S179" s="371">
        <v>2.302</v>
      </c>
      <c r="T179" s="371">
        <v>2.4620000000000002</v>
      </c>
      <c r="U179" s="371">
        <v>2.5979999999999999</v>
      </c>
      <c r="V179" s="371">
        <v>2.5979999999999999</v>
      </c>
      <c r="W179" s="371">
        <v>2.5979999999999999</v>
      </c>
      <c r="X179" s="371">
        <v>2.5979999999999999</v>
      </c>
      <c r="Y179" s="381">
        <v>1000</v>
      </c>
    </row>
    <row r="180" spans="1:26" x14ac:dyDescent="0.2">
      <c r="A180" s="378" t="s">
        <v>34</v>
      </c>
      <c r="B180" s="372">
        <v>0</v>
      </c>
      <c r="C180" s="376">
        <v>54.222000000000001</v>
      </c>
      <c r="D180" s="376">
        <v>43.456000000000003</v>
      </c>
      <c r="E180" s="376">
        <v>50.185000000000002</v>
      </c>
      <c r="F180" s="376">
        <v>54.063000000000002</v>
      </c>
      <c r="G180" s="376">
        <v>48.363999999999997</v>
      </c>
      <c r="H180" s="376">
        <v>45.752000000000002</v>
      </c>
      <c r="I180" s="376">
        <v>43.14</v>
      </c>
      <c r="J180" s="376">
        <v>40.29</v>
      </c>
      <c r="K180" s="376">
        <v>37.835999999999999</v>
      </c>
      <c r="L180" s="376">
        <v>32.612000000000002</v>
      </c>
      <c r="M180" s="376">
        <v>30.317</v>
      </c>
      <c r="N180" s="376">
        <v>26.359000000000002</v>
      </c>
      <c r="O180" s="376">
        <v>23.509</v>
      </c>
      <c r="P180" s="376">
        <v>19.077000000000002</v>
      </c>
      <c r="Q180" s="376">
        <v>14.565</v>
      </c>
      <c r="R180" s="376">
        <v>10.053000000000001</v>
      </c>
      <c r="S180" s="376">
        <v>4.8280000000000003</v>
      </c>
      <c r="T180" s="376">
        <v>1.504</v>
      </c>
      <c r="U180" s="373">
        <v>0</v>
      </c>
      <c r="V180" s="373">
        <v>0</v>
      </c>
      <c r="W180" s="373">
        <v>0</v>
      </c>
      <c r="X180" s="373">
        <v>0</v>
      </c>
      <c r="Y180" s="382">
        <v>0</v>
      </c>
    </row>
    <row r="181" spans="1:26" ht="13.5" thickBot="1" x14ac:dyDescent="0.25">
      <c r="A181" s="379" t="s">
        <v>117</v>
      </c>
      <c r="B181" s="374">
        <f t="shared" ref="B181:X181" si="62">(C180+B180)*(C179-B179)/2</f>
        <v>0.379554</v>
      </c>
      <c r="C181" s="375">
        <f t="shared" si="62"/>
        <v>2.0512380000000001</v>
      </c>
      <c r="D181" s="375">
        <f t="shared" si="62"/>
        <v>1.685538</v>
      </c>
      <c r="E181" s="375">
        <f t="shared" si="62"/>
        <v>3.5444320000000005</v>
      </c>
      <c r="F181" s="375">
        <f t="shared" si="62"/>
        <v>3.6873720000000003</v>
      </c>
      <c r="G181" s="375">
        <f t="shared" si="62"/>
        <v>6.1645979999999989</v>
      </c>
      <c r="H181" s="375">
        <f t="shared" si="62"/>
        <v>6.0446559999999998</v>
      </c>
      <c r="I181" s="375">
        <f t="shared" si="62"/>
        <v>6.5075400000000014</v>
      </c>
      <c r="J181" s="375">
        <f t="shared" si="62"/>
        <v>7.343843999999998</v>
      </c>
      <c r="K181" s="375">
        <f t="shared" si="62"/>
        <v>13.138552000000001</v>
      </c>
      <c r="L181" s="375">
        <f t="shared" si="62"/>
        <v>4.7826040000000045</v>
      </c>
      <c r="M181" s="375">
        <f t="shared" si="62"/>
        <v>4.8741359999999982</v>
      </c>
      <c r="N181" s="375">
        <f t="shared" si="62"/>
        <v>3.3660900000000002</v>
      </c>
      <c r="O181" s="375">
        <f t="shared" si="62"/>
        <v>3.9604979999999985</v>
      </c>
      <c r="P181" s="375">
        <f t="shared" si="62"/>
        <v>2.5567919999999988</v>
      </c>
      <c r="Q181" s="375">
        <f t="shared" si="62"/>
        <v>1.797113999999999</v>
      </c>
      <c r="R181" s="375">
        <f t="shared" si="62"/>
        <v>1.0639915000000018</v>
      </c>
      <c r="S181" s="375">
        <f t="shared" si="62"/>
        <v>0.50656000000000045</v>
      </c>
      <c r="T181" s="375">
        <f t="shared" si="62"/>
        <v>0.10227199999999975</v>
      </c>
      <c r="U181" s="375">
        <f t="shared" si="62"/>
        <v>0</v>
      </c>
      <c r="V181" s="375">
        <f t="shared" si="62"/>
        <v>0</v>
      </c>
      <c r="W181" s="375">
        <f t="shared" si="62"/>
        <v>0</v>
      </c>
      <c r="X181" s="375">
        <f t="shared" si="62"/>
        <v>0</v>
      </c>
      <c r="Y181" s="369"/>
    </row>
    <row r="182" spans="1:26" ht="13.5" thickBot="1" x14ac:dyDescent="0.25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</row>
    <row r="183" spans="1:26" ht="13.5" thickBot="1" x14ac:dyDescent="0.25">
      <c r="A183" s="361" t="s">
        <v>325</v>
      </c>
      <c r="B183" s="359">
        <f>ROW(A183)</f>
        <v>183</v>
      </c>
      <c r="C183" s="363" t="s">
        <v>116</v>
      </c>
      <c r="D183" s="353">
        <f>SUM(B186:Y186)</f>
        <v>73.169517999999997</v>
      </c>
      <c r="E183" s="363" t="s">
        <v>115</v>
      </c>
      <c r="F183" s="354">
        <f>D183/g/J183</f>
        <v>177.58729673316827</v>
      </c>
      <c r="G183" s="363" t="s">
        <v>57</v>
      </c>
      <c r="H183" s="64">
        <v>9.6000000000000002E-2</v>
      </c>
      <c r="I183" s="363" t="s">
        <v>270</v>
      </c>
      <c r="J183" s="355">
        <f>H183-L183</f>
        <v>4.2000000000000003E-2</v>
      </c>
      <c r="K183" s="363" t="s">
        <v>271</v>
      </c>
      <c r="L183" s="64">
        <v>5.3999999999999999E-2</v>
      </c>
      <c r="M183" s="363" t="s">
        <v>58</v>
      </c>
      <c r="N183" s="396">
        <v>66.5</v>
      </c>
      <c r="O183" s="363" t="s">
        <v>60</v>
      </c>
      <c r="P183" s="396">
        <v>66.5</v>
      </c>
      <c r="Q183" s="363" t="s">
        <v>61</v>
      </c>
      <c r="R183" s="65">
        <v>133</v>
      </c>
      <c r="S183" s="363" t="s">
        <v>62</v>
      </c>
      <c r="T183" s="65">
        <v>24</v>
      </c>
      <c r="U183" s="363" t="s">
        <v>55</v>
      </c>
      <c r="V183" s="66" t="s">
        <v>399</v>
      </c>
      <c r="W183" s="463" t="s">
        <v>394</v>
      </c>
      <c r="X183" s="465">
        <v>0.87</v>
      </c>
      <c r="Y183" s="463" t="s">
        <v>393</v>
      </c>
      <c r="Z183" s="358">
        <v>15</v>
      </c>
    </row>
    <row r="184" spans="1:26" x14ac:dyDescent="0.2">
      <c r="A184" s="362" t="s">
        <v>33</v>
      </c>
      <c r="B184" s="370">
        <v>0</v>
      </c>
      <c r="C184" s="371">
        <v>0.01</v>
      </c>
      <c r="D184" s="371">
        <v>2.3E-2</v>
      </c>
      <c r="E184" s="371">
        <v>0.04</v>
      </c>
      <c r="F184" s="371">
        <v>0.11799999999999999</v>
      </c>
      <c r="G184" s="371">
        <v>0.28299999999999997</v>
      </c>
      <c r="H184" s="371">
        <v>0.51</v>
      </c>
      <c r="I184" s="371">
        <v>0.68799999999999994</v>
      </c>
      <c r="J184" s="371">
        <v>0.78700000000000003</v>
      </c>
      <c r="K184" s="371">
        <v>0.85199999999999998</v>
      </c>
      <c r="L184" s="371">
        <v>0.873</v>
      </c>
      <c r="M184" s="371">
        <v>0.873</v>
      </c>
      <c r="N184" s="371">
        <v>0.873</v>
      </c>
      <c r="O184" s="371">
        <v>0.873</v>
      </c>
      <c r="P184" s="371">
        <v>0.873</v>
      </c>
      <c r="Q184" s="371">
        <v>0.873</v>
      </c>
      <c r="R184" s="371">
        <v>0.873</v>
      </c>
      <c r="S184" s="371">
        <v>0.873</v>
      </c>
      <c r="T184" s="371">
        <v>0.873</v>
      </c>
      <c r="U184" s="371">
        <v>0.873</v>
      </c>
      <c r="V184" s="371">
        <v>0.873</v>
      </c>
      <c r="W184" s="371">
        <v>0.873</v>
      </c>
      <c r="X184" s="371">
        <v>2</v>
      </c>
      <c r="Y184" s="381">
        <v>1000</v>
      </c>
    </row>
    <row r="185" spans="1:26" x14ac:dyDescent="0.2">
      <c r="A185" s="378" t="s">
        <v>34</v>
      </c>
      <c r="B185" s="372">
        <v>0</v>
      </c>
      <c r="C185" s="376">
        <v>76.073999999999998</v>
      </c>
      <c r="D185" s="376">
        <v>100.185</v>
      </c>
      <c r="E185" s="376">
        <v>92.424999999999997</v>
      </c>
      <c r="F185" s="376">
        <v>100.878</v>
      </c>
      <c r="G185" s="376">
        <v>102.402</v>
      </c>
      <c r="H185" s="376">
        <v>96.442999999999998</v>
      </c>
      <c r="I185" s="376">
        <v>87.436000000000007</v>
      </c>
      <c r="J185" s="376">
        <v>25.911999999999999</v>
      </c>
      <c r="K185" s="376">
        <v>7.2060000000000004</v>
      </c>
      <c r="L185" s="373">
        <v>0</v>
      </c>
      <c r="M185" s="373">
        <v>0</v>
      </c>
      <c r="N185" s="373">
        <v>0</v>
      </c>
      <c r="O185" s="373">
        <v>0</v>
      </c>
      <c r="P185" s="373">
        <v>0</v>
      </c>
      <c r="Q185" s="373">
        <v>0</v>
      </c>
      <c r="R185" s="373">
        <v>0</v>
      </c>
      <c r="S185" s="373">
        <v>0</v>
      </c>
      <c r="T185" s="373">
        <v>0</v>
      </c>
      <c r="U185" s="373">
        <v>0</v>
      </c>
      <c r="V185" s="373">
        <v>0</v>
      </c>
      <c r="W185" s="373">
        <v>0</v>
      </c>
      <c r="X185" s="373">
        <v>0</v>
      </c>
      <c r="Y185" s="382">
        <v>0</v>
      </c>
    </row>
    <row r="186" spans="1:26" ht="13.5" thickBot="1" x14ac:dyDescent="0.25">
      <c r="A186" s="379" t="s">
        <v>117</v>
      </c>
      <c r="B186" s="374">
        <f t="shared" ref="B186:X186" si="63">(C185+B185)*(C184-B184)/2</f>
        <v>0.38036999999999999</v>
      </c>
      <c r="C186" s="375">
        <f t="shared" si="63"/>
        <v>1.1456835000000001</v>
      </c>
      <c r="D186" s="375">
        <f t="shared" si="63"/>
        <v>1.6371850000000003</v>
      </c>
      <c r="E186" s="375">
        <f t="shared" si="63"/>
        <v>7.5388169999999981</v>
      </c>
      <c r="F186" s="375">
        <f t="shared" si="63"/>
        <v>16.770599999999998</v>
      </c>
      <c r="G186" s="375">
        <f t="shared" si="63"/>
        <v>22.568907500000002</v>
      </c>
      <c r="H186" s="375">
        <f t="shared" si="63"/>
        <v>16.365230999999994</v>
      </c>
      <c r="I186" s="375">
        <f t="shared" si="63"/>
        <v>5.6107260000000059</v>
      </c>
      <c r="J186" s="375">
        <f t="shared" si="63"/>
        <v>1.0763349999999992</v>
      </c>
      <c r="K186" s="375">
        <f t="shared" si="63"/>
        <v>7.5663000000000077E-2</v>
      </c>
      <c r="L186" s="375">
        <f t="shared" si="63"/>
        <v>0</v>
      </c>
      <c r="M186" s="375">
        <f t="shared" si="63"/>
        <v>0</v>
      </c>
      <c r="N186" s="375">
        <f t="shared" si="63"/>
        <v>0</v>
      </c>
      <c r="O186" s="375">
        <f t="shared" si="63"/>
        <v>0</v>
      </c>
      <c r="P186" s="375">
        <f t="shared" si="63"/>
        <v>0</v>
      </c>
      <c r="Q186" s="375">
        <f t="shared" si="63"/>
        <v>0</v>
      </c>
      <c r="R186" s="375">
        <f t="shared" si="63"/>
        <v>0</v>
      </c>
      <c r="S186" s="375">
        <f t="shared" si="63"/>
        <v>0</v>
      </c>
      <c r="T186" s="375">
        <f t="shared" si="63"/>
        <v>0</v>
      </c>
      <c r="U186" s="375">
        <f t="shared" si="63"/>
        <v>0</v>
      </c>
      <c r="V186" s="375">
        <f t="shared" si="63"/>
        <v>0</v>
      </c>
      <c r="W186" s="375">
        <f t="shared" si="63"/>
        <v>0</v>
      </c>
      <c r="X186" s="375">
        <f t="shared" si="63"/>
        <v>0</v>
      </c>
      <c r="Y186" s="369"/>
    </row>
    <row r="187" spans="1:26" ht="13.5" thickBot="1" x14ac:dyDescent="0.25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8" spans="1:26" ht="13.5" thickBot="1" x14ac:dyDescent="0.25">
      <c r="A188" s="361" t="s">
        <v>326</v>
      </c>
      <c r="B188" s="359">
        <f>ROW(A188)</f>
        <v>188</v>
      </c>
      <c r="C188" s="363" t="s">
        <v>116</v>
      </c>
      <c r="D188" s="353">
        <f>SUM(B191:Y191)</f>
        <v>75.254384000000016</v>
      </c>
      <c r="E188" s="363" t="s">
        <v>115</v>
      </c>
      <c r="F188" s="354">
        <f>D188/g/J188</f>
        <v>232.46033422914161</v>
      </c>
      <c r="G188" s="363" t="s">
        <v>57</v>
      </c>
      <c r="H188" s="64">
        <v>9.5000000000000001E-2</v>
      </c>
      <c r="I188" s="363" t="s">
        <v>270</v>
      </c>
      <c r="J188" s="355">
        <f>H188-L188</f>
        <v>3.3000000000000002E-2</v>
      </c>
      <c r="K188" s="363" t="s">
        <v>271</v>
      </c>
      <c r="L188" s="64">
        <f>0.095-0.033</f>
        <v>6.2E-2</v>
      </c>
      <c r="M188" s="363" t="s">
        <v>58</v>
      </c>
      <c r="N188" s="396">
        <v>66.5</v>
      </c>
      <c r="O188" s="363" t="s">
        <v>60</v>
      </c>
      <c r="P188" s="396">
        <v>66.5</v>
      </c>
      <c r="Q188" s="363" t="s">
        <v>61</v>
      </c>
      <c r="R188" s="65">
        <v>133</v>
      </c>
      <c r="S188" s="363" t="s">
        <v>62</v>
      </c>
      <c r="T188" s="65">
        <v>24</v>
      </c>
      <c r="U188" s="363" t="s">
        <v>55</v>
      </c>
      <c r="V188" s="66" t="s">
        <v>399</v>
      </c>
      <c r="W188" s="463" t="s">
        <v>394</v>
      </c>
      <c r="X188" s="465">
        <v>1.5</v>
      </c>
      <c r="Y188" s="463" t="s">
        <v>393</v>
      </c>
      <c r="Z188" s="358">
        <v>12</v>
      </c>
    </row>
    <row r="189" spans="1:26" x14ac:dyDescent="0.2">
      <c r="A189" s="362" t="s">
        <v>33</v>
      </c>
      <c r="B189" s="370">
        <v>0</v>
      </c>
      <c r="C189" s="371">
        <v>0.02</v>
      </c>
      <c r="D189" s="371">
        <v>3.1E-2</v>
      </c>
      <c r="E189" s="371">
        <v>6.2E-2</v>
      </c>
      <c r="F189" s="371">
        <v>0.11700000000000001</v>
      </c>
      <c r="G189" s="371">
        <v>1.2110000000000001</v>
      </c>
      <c r="H189" s="371">
        <v>1.3759999999999999</v>
      </c>
      <c r="I189" s="371">
        <v>1.456</v>
      </c>
      <c r="J189" s="371">
        <v>1.532</v>
      </c>
      <c r="K189" s="371">
        <v>1.577</v>
      </c>
      <c r="L189" s="371">
        <v>2</v>
      </c>
      <c r="M189" s="371">
        <v>2</v>
      </c>
      <c r="N189" s="371">
        <v>2</v>
      </c>
      <c r="O189" s="371">
        <v>2</v>
      </c>
      <c r="P189" s="371">
        <v>2</v>
      </c>
      <c r="Q189" s="371">
        <v>2</v>
      </c>
      <c r="R189" s="371">
        <v>2</v>
      </c>
      <c r="S189" s="371">
        <v>2</v>
      </c>
      <c r="T189" s="371">
        <v>2</v>
      </c>
      <c r="U189" s="371">
        <v>2</v>
      </c>
      <c r="V189" s="371">
        <v>2</v>
      </c>
      <c r="W189" s="371">
        <v>2</v>
      </c>
      <c r="X189" s="371">
        <f t="shared" ref="T189:X190" si="64">W189</f>
        <v>2</v>
      </c>
      <c r="Y189" s="381">
        <v>1000</v>
      </c>
    </row>
    <row r="190" spans="1:26" x14ac:dyDescent="0.2">
      <c r="A190" s="378" t="s">
        <v>34</v>
      </c>
      <c r="B190" s="372">
        <v>0</v>
      </c>
      <c r="C190" s="373">
        <v>75.924000000000007</v>
      </c>
      <c r="D190" s="373">
        <v>84.147999999999996</v>
      </c>
      <c r="E190" s="373">
        <v>70.441000000000003</v>
      </c>
      <c r="F190" s="373">
        <v>73.659000000000006</v>
      </c>
      <c r="G190" s="373">
        <v>38.737000000000002</v>
      </c>
      <c r="H190" s="373">
        <v>14.779</v>
      </c>
      <c r="I190" s="373">
        <v>7.2709999999999999</v>
      </c>
      <c r="J190" s="373">
        <v>3.3370000000000002</v>
      </c>
      <c r="K190" s="373">
        <v>0</v>
      </c>
      <c r="L190" s="373">
        <v>0</v>
      </c>
      <c r="M190" s="373">
        <v>0</v>
      </c>
      <c r="N190" s="373">
        <v>0</v>
      </c>
      <c r="O190" s="373">
        <v>0</v>
      </c>
      <c r="P190" s="373">
        <v>0</v>
      </c>
      <c r="Q190" s="373">
        <v>0</v>
      </c>
      <c r="R190" s="373">
        <v>0</v>
      </c>
      <c r="S190" s="373">
        <v>0</v>
      </c>
      <c r="T190" s="373">
        <f t="shared" si="64"/>
        <v>0</v>
      </c>
      <c r="U190" s="373">
        <f t="shared" si="64"/>
        <v>0</v>
      </c>
      <c r="V190" s="373">
        <f t="shared" si="64"/>
        <v>0</v>
      </c>
      <c r="W190" s="373">
        <f t="shared" si="64"/>
        <v>0</v>
      </c>
      <c r="X190" s="373">
        <f t="shared" si="64"/>
        <v>0</v>
      </c>
      <c r="Y190" s="382">
        <v>0</v>
      </c>
    </row>
    <row r="191" spans="1:26" ht="13.5" thickBot="1" x14ac:dyDescent="0.25">
      <c r="A191" s="379" t="s">
        <v>117</v>
      </c>
      <c r="B191" s="374">
        <f t="shared" ref="B191:V191" si="65">(C190+B190)*(C189-B189)/2</f>
        <v>0.75924000000000014</v>
      </c>
      <c r="C191" s="375">
        <f t="shared" si="65"/>
        <v>0.88039599999999996</v>
      </c>
      <c r="D191" s="375">
        <f t="shared" si="65"/>
        <v>2.3961294999999998</v>
      </c>
      <c r="E191" s="375">
        <f t="shared" si="65"/>
        <v>3.9627500000000011</v>
      </c>
      <c r="F191" s="375">
        <f t="shared" si="65"/>
        <v>61.480612000000015</v>
      </c>
      <c r="G191" s="375">
        <f t="shared" si="65"/>
        <v>4.4150699999999956</v>
      </c>
      <c r="H191" s="375">
        <f t="shared" si="65"/>
        <v>0.88200000000000078</v>
      </c>
      <c r="I191" s="375">
        <f t="shared" si="65"/>
        <v>0.40310400000000035</v>
      </c>
      <c r="J191" s="375">
        <f>(K190+J190)*(K189-J189)/2</f>
        <v>7.5082499999999885E-2</v>
      </c>
      <c r="K191" s="375">
        <f t="shared" si="65"/>
        <v>0</v>
      </c>
      <c r="L191" s="375">
        <f t="shared" si="65"/>
        <v>0</v>
      </c>
      <c r="M191" s="375">
        <f t="shared" si="65"/>
        <v>0</v>
      </c>
      <c r="N191" s="375">
        <f t="shared" si="65"/>
        <v>0</v>
      </c>
      <c r="O191" s="375">
        <f t="shared" si="65"/>
        <v>0</v>
      </c>
      <c r="P191" s="375">
        <f t="shared" si="65"/>
        <v>0</v>
      </c>
      <c r="Q191" s="375">
        <f t="shared" si="65"/>
        <v>0</v>
      </c>
      <c r="R191" s="375">
        <f t="shared" si="65"/>
        <v>0</v>
      </c>
      <c r="S191" s="375">
        <f>(T190+S190)*(T189-S189)/2</f>
        <v>0</v>
      </c>
      <c r="T191" s="375">
        <f t="shared" si="65"/>
        <v>0</v>
      </c>
      <c r="U191" s="375">
        <f t="shared" si="65"/>
        <v>0</v>
      </c>
      <c r="V191" s="375">
        <f t="shared" si="65"/>
        <v>0</v>
      </c>
      <c r="W191" s="375">
        <f>(X190+W190)*(X189-W189)/2</f>
        <v>0</v>
      </c>
      <c r="X191" s="375">
        <f>(Y190+X190)*(Y189-X189)/2</f>
        <v>0</v>
      </c>
      <c r="Y191" s="369"/>
    </row>
    <row r="192" spans="1:26" ht="13.5" thickBot="1" x14ac:dyDescent="0.25">
      <c r="A192" s="6" t="s">
        <v>373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spans="1:26" ht="13.5" thickBot="1" x14ac:dyDescent="0.25">
      <c r="A193" s="361" t="s">
        <v>536</v>
      </c>
      <c r="B193" s="359">
        <f>ROW(A193)</f>
        <v>193</v>
      </c>
      <c r="C193" s="363" t="s">
        <v>116</v>
      </c>
      <c r="D193" s="353">
        <f>SUM(B196:Y196)</f>
        <v>141.04999999999998</v>
      </c>
      <c r="E193" s="363" t="s">
        <v>115</v>
      </c>
      <c r="F193" s="354">
        <f>D193/g/J193</f>
        <v>186.24592648930721</v>
      </c>
      <c r="G193" s="363" t="s">
        <v>57</v>
      </c>
      <c r="H193" s="64">
        <v>0.16189999999999999</v>
      </c>
      <c r="I193" s="363" t="s">
        <v>270</v>
      </c>
      <c r="J193" s="355">
        <f>H193-L193</f>
        <v>7.7199999999999991E-2</v>
      </c>
      <c r="K193" s="363" t="s">
        <v>271</v>
      </c>
      <c r="L193" s="64">
        <v>8.4699999999999998E-2</v>
      </c>
      <c r="M193" s="363" t="s">
        <v>58</v>
      </c>
      <c r="N193" s="65">
        <v>114</v>
      </c>
      <c r="O193" s="363" t="s">
        <v>60</v>
      </c>
      <c r="P193" s="65">
        <v>114</v>
      </c>
      <c r="Q193" s="363" t="s">
        <v>61</v>
      </c>
      <c r="R193" s="65">
        <v>228</v>
      </c>
      <c r="S193" s="363" t="s">
        <v>62</v>
      </c>
      <c r="T193" s="65">
        <v>24</v>
      </c>
      <c r="U193" s="363" t="s">
        <v>55</v>
      </c>
      <c r="V193" s="66" t="s">
        <v>120</v>
      </c>
      <c r="W193" s="463" t="s">
        <v>394</v>
      </c>
      <c r="X193" s="465">
        <v>0.96</v>
      </c>
      <c r="Y193" s="463" t="s">
        <v>393</v>
      </c>
      <c r="Z193" s="358">
        <v>15</v>
      </c>
    </row>
    <row r="194" spans="1:26" x14ac:dyDescent="0.2">
      <c r="A194" s="362" t="s">
        <v>33</v>
      </c>
      <c r="B194" s="370">
        <v>0</v>
      </c>
      <c r="C194" s="371">
        <v>0.02</v>
      </c>
      <c r="D194" s="371">
        <v>0.03</v>
      </c>
      <c r="E194" s="371">
        <v>0.05</v>
      </c>
      <c r="F194" s="371">
        <v>0.6</v>
      </c>
      <c r="G194" s="371">
        <v>0.67</v>
      </c>
      <c r="H194" s="371">
        <v>0.7</v>
      </c>
      <c r="I194" s="371">
        <v>0.8</v>
      </c>
      <c r="J194" s="371">
        <v>0.9</v>
      </c>
      <c r="K194" s="371">
        <v>1.05</v>
      </c>
      <c r="L194" s="371">
        <f t="shared" ref="L194:W194" si="66">K194</f>
        <v>1.05</v>
      </c>
      <c r="M194" s="371">
        <f t="shared" si="66"/>
        <v>1.05</v>
      </c>
      <c r="N194" s="371">
        <f t="shared" si="66"/>
        <v>1.05</v>
      </c>
      <c r="O194" s="371">
        <f t="shared" si="66"/>
        <v>1.05</v>
      </c>
      <c r="P194" s="371">
        <f t="shared" si="66"/>
        <v>1.05</v>
      </c>
      <c r="Q194" s="371">
        <f t="shared" si="66"/>
        <v>1.05</v>
      </c>
      <c r="R194" s="371">
        <f t="shared" si="66"/>
        <v>1.05</v>
      </c>
      <c r="S194" s="371">
        <f t="shared" si="66"/>
        <v>1.05</v>
      </c>
      <c r="T194" s="371">
        <f t="shared" si="66"/>
        <v>1.05</v>
      </c>
      <c r="U194" s="371">
        <f t="shared" si="66"/>
        <v>1.05</v>
      </c>
      <c r="V194" s="371">
        <f t="shared" si="66"/>
        <v>1.05</v>
      </c>
      <c r="W194" s="371">
        <f t="shared" si="66"/>
        <v>1.05</v>
      </c>
      <c r="X194" s="371">
        <v>2</v>
      </c>
      <c r="Y194" s="381">
        <v>1000</v>
      </c>
    </row>
    <row r="195" spans="1:26" x14ac:dyDescent="0.2">
      <c r="A195" s="378" t="s">
        <v>34</v>
      </c>
      <c r="B195" s="372">
        <v>0</v>
      </c>
      <c r="C195" s="373">
        <v>350</v>
      </c>
      <c r="D195" s="373">
        <v>250</v>
      </c>
      <c r="E195" s="373">
        <v>210</v>
      </c>
      <c r="F195" s="373">
        <v>150</v>
      </c>
      <c r="G195" s="373">
        <v>140</v>
      </c>
      <c r="H195" s="373">
        <v>130</v>
      </c>
      <c r="I195" s="373">
        <v>65</v>
      </c>
      <c r="J195" s="373">
        <v>30</v>
      </c>
      <c r="K195" s="373">
        <v>0</v>
      </c>
      <c r="L195" s="373">
        <v>0</v>
      </c>
      <c r="M195" s="373">
        <v>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f t="shared" ref="S195:X195" si="67">R195</f>
        <v>0</v>
      </c>
      <c r="T195" s="373">
        <f t="shared" si="67"/>
        <v>0</v>
      </c>
      <c r="U195" s="373">
        <f t="shared" si="67"/>
        <v>0</v>
      </c>
      <c r="V195" s="373">
        <f t="shared" si="67"/>
        <v>0</v>
      </c>
      <c r="W195" s="373">
        <f t="shared" si="67"/>
        <v>0</v>
      </c>
      <c r="X195" s="373">
        <f t="shared" si="67"/>
        <v>0</v>
      </c>
      <c r="Y195" s="382">
        <v>0</v>
      </c>
    </row>
    <row r="196" spans="1:26" ht="13.5" thickBot="1" x14ac:dyDescent="0.25">
      <c r="A196" s="379" t="s">
        <v>117</v>
      </c>
      <c r="B196" s="374">
        <f t="shared" ref="B196:X196" si="68">(C195+B195)*(C194-B194)/2</f>
        <v>3.5</v>
      </c>
      <c r="C196" s="375">
        <f t="shared" si="68"/>
        <v>2.9999999999999996</v>
      </c>
      <c r="D196" s="375">
        <f t="shared" si="68"/>
        <v>4.6000000000000005</v>
      </c>
      <c r="E196" s="375">
        <f t="shared" si="68"/>
        <v>98.999999999999986</v>
      </c>
      <c r="F196" s="375">
        <f t="shared" si="68"/>
        <v>10.150000000000009</v>
      </c>
      <c r="G196" s="375">
        <f t="shared" si="68"/>
        <v>4.0499999999999883</v>
      </c>
      <c r="H196" s="375">
        <f t="shared" si="68"/>
        <v>9.7500000000000089</v>
      </c>
      <c r="I196" s="375">
        <f t="shared" si="68"/>
        <v>4.7499999999999991</v>
      </c>
      <c r="J196" s="375">
        <f t="shared" si="68"/>
        <v>2.2500000000000004</v>
      </c>
      <c r="K196" s="375">
        <f t="shared" si="68"/>
        <v>0</v>
      </c>
      <c r="L196" s="375">
        <f t="shared" si="68"/>
        <v>0</v>
      </c>
      <c r="M196" s="375">
        <f t="shared" si="68"/>
        <v>0</v>
      </c>
      <c r="N196" s="375">
        <f t="shared" si="68"/>
        <v>0</v>
      </c>
      <c r="O196" s="375">
        <f t="shared" si="68"/>
        <v>0</v>
      </c>
      <c r="P196" s="375">
        <f t="shared" si="68"/>
        <v>0</v>
      </c>
      <c r="Q196" s="375">
        <f t="shared" si="68"/>
        <v>0</v>
      </c>
      <c r="R196" s="375">
        <f t="shared" si="68"/>
        <v>0</v>
      </c>
      <c r="S196" s="375">
        <f t="shared" si="68"/>
        <v>0</v>
      </c>
      <c r="T196" s="375">
        <f t="shared" si="68"/>
        <v>0</v>
      </c>
      <c r="U196" s="375">
        <f t="shared" si="68"/>
        <v>0</v>
      </c>
      <c r="V196" s="375">
        <f t="shared" si="68"/>
        <v>0</v>
      </c>
      <c r="W196" s="375">
        <f t="shared" si="68"/>
        <v>0</v>
      </c>
      <c r="X196" s="375">
        <f t="shared" si="68"/>
        <v>0</v>
      </c>
      <c r="Y196" s="369"/>
    </row>
    <row r="197" spans="1:26" ht="13.5" thickBot="1" x14ac:dyDescent="0.25">
      <c r="A197" s="12" t="s">
        <v>546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spans="1:26" ht="13.5" thickBot="1" x14ac:dyDescent="0.25">
      <c r="A198" s="361" t="s">
        <v>549</v>
      </c>
      <c r="B198" s="359">
        <f>ROW(A198)</f>
        <v>198</v>
      </c>
      <c r="C198" s="363" t="s">
        <v>116</v>
      </c>
      <c r="D198" s="353">
        <f>SUM(B201:Y201)</f>
        <v>142.44</v>
      </c>
      <c r="E198" s="363" t="s">
        <v>115</v>
      </c>
      <c r="F198" s="354">
        <f>D198/g/J198</f>
        <v>192.06187401906058</v>
      </c>
      <c r="G198" s="363" t="s">
        <v>57</v>
      </c>
      <c r="H198" s="64">
        <v>0.15989999999999999</v>
      </c>
      <c r="I198" s="363" t="s">
        <v>270</v>
      </c>
      <c r="J198" s="355">
        <f>H198-L198</f>
        <v>7.5599999999999987E-2</v>
      </c>
      <c r="K198" s="363" t="s">
        <v>271</v>
      </c>
      <c r="L198" s="64">
        <v>8.43E-2</v>
      </c>
      <c r="M198" s="363" t="s">
        <v>58</v>
      </c>
      <c r="N198" s="65">
        <v>114</v>
      </c>
      <c r="O198" s="363" t="s">
        <v>60</v>
      </c>
      <c r="P198" s="65">
        <v>114</v>
      </c>
      <c r="Q198" s="363" t="s">
        <v>61</v>
      </c>
      <c r="R198" s="65">
        <v>228</v>
      </c>
      <c r="S198" s="363" t="s">
        <v>62</v>
      </c>
      <c r="T198" s="65">
        <v>24</v>
      </c>
      <c r="U198" s="363" t="s">
        <v>55</v>
      </c>
      <c r="V198" s="66" t="s">
        <v>401</v>
      </c>
      <c r="W198" s="463" t="s">
        <v>394</v>
      </c>
      <c r="X198" s="465">
        <v>0.97</v>
      </c>
      <c r="Y198" s="463" t="s">
        <v>393</v>
      </c>
      <c r="Z198" s="358"/>
    </row>
    <row r="199" spans="1:26" x14ac:dyDescent="0.2">
      <c r="A199" s="362" t="s">
        <v>33</v>
      </c>
      <c r="B199" s="370">
        <v>0</v>
      </c>
      <c r="C199" s="371">
        <v>0.02</v>
      </c>
      <c r="D199" s="371">
        <v>0.04</v>
      </c>
      <c r="E199" s="371">
        <v>0.62</v>
      </c>
      <c r="F199" s="371">
        <v>0.66</v>
      </c>
      <c r="G199" s="371">
        <v>0.68</v>
      </c>
      <c r="H199" s="371">
        <v>0.8</v>
      </c>
      <c r="I199" s="371">
        <v>0.84</v>
      </c>
      <c r="J199" s="371">
        <v>0.88</v>
      </c>
      <c r="K199" s="371">
        <v>0.92</v>
      </c>
      <c r="L199" s="371">
        <v>0.96</v>
      </c>
      <c r="M199" s="371">
        <v>1</v>
      </c>
      <c r="N199" s="371">
        <v>1.08</v>
      </c>
      <c r="O199" s="371">
        <v>2</v>
      </c>
      <c r="P199" s="371">
        <v>2</v>
      </c>
      <c r="Q199" s="371">
        <v>2</v>
      </c>
      <c r="R199" s="371">
        <v>2</v>
      </c>
      <c r="S199" s="371">
        <f t="shared" ref="S199:X200" si="69">R199</f>
        <v>2</v>
      </c>
      <c r="T199" s="371">
        <f t="shared" si="69"/>
        <v>2</v>
      </c>
      <c r="U199" s="371">
        <f t="shared" si="69"/>
        <v>2</v>
      </c>
      <c r="V199" s="371">
        <f t="shared" si="69"/>
        <v>2</v>
      </c>
      <c r="W199" s="371">
        <f t="shared" si="69"/>
        <v>2</v>
      </c>
      <c r="X199" s="371">
        <f t="shared" si="69"/>
        <v>2</v>
      </c>
      <c r="Y199" s="381">
        <v>1000</v>
      </c>
    </row>
    <row r="200" spans="1:26" x14ac:dyDescent="0.2">
      <c r="A200" s="378" t="s">
        <v>34</v>
      </c>
      <c r="B200" s="372">
        <v>0</v>
      </c>
      <c r="C200" s="373">
        <v>250</v>
      </c>
      <c r="D200" s="373">
        <v>210</v>
      </c>
      <c r="E200" s="373">
        <v>160</v>
      </c>
      <c r="F200" s="373">
        <v>150</v>
      </c>
      <c r="G200" s="373">
        <v>142</v>
      </c>
      <c r="H200" s="373">
        <v>62</v>
      </c>
      <c r="I200" s="373">
        <v>48</v>
      </c>
      <c r="J200" s="373">
        <v>34</v>
      </c>
      <c r="K200" s="373">
        <v>24</v>
      </c>
      <c r="L200" s="373">
        <v>15</v>
      </c>
      <c r="M200" s="373">
        <v>10</v>
      </c>
      <c r="N200" s="373">
        <v>0</v>
      </c>
      <c r="O200" s="373">
        <v>0</v>
      </c>
      <c r="P200" s="373">
        <v>0</v>
      </c>
      <c r="Q200" s="373">
        <v>0</v>
      </c>
      <c r="R200" s="373">
        <v>0</v>
      </c>
      <c r="S200" s="373">
        <f t="shared" si="69"/>
        <v>0</v>
      </c>
      <c r="T200" s="373">
        <f t="shared" si="69"/>
        <v>0</v>
      </c>
      <c r="U200" s="373">
        <f t="shared" si="69"/>
        <v>0</v>
      </c>
      <c r="V200" s="373">
        <f t="shared" si="69"/>
        <v>0</v>
      </c>
      <c r="W200" s="373">
        <f t="shared" si="69"/>
        <v>0</v>
      </c>
      <c r="X200" s="373">
        <f t="shared" si="69"/>
        <v>0</v>
      </c>
      <c r="Y200" s="382">
        <v>0</v>
      </c>
    </row>
    <row r="201" spans="1:26" ht="13.5" thickBot="1" x14ac:dyDescent="0.25">
      <c r="A201" s="379" t="s">
        <v>117</v>
      </c>
      <c r="B201" s="374">
        <f t="shared" ref="B201:X201" si="70">(C200+B200)*(C199-B199)/2</f>
        <v>2.5</v>
      </c>
      <c r="C201" s="375">
        <f t="shared" si="70"/>
        <v>4.6000000000000005</v>
      </c>
      <c r="D201" s="375">
        <f t="shared" si="70"/>
        <v>107.3</v>
      </c>
      <c r="E201" s="375">
        <f t="shared" si="70"/>
        <v>6.2000000000000055</v>
      </c>
      <c r="F201" s="375">
        <f t="shared" si="70"/>
        <v>2.9200000000000026</v>
      </c>
      <c r="G201" s="375">
        <f t="shared" si="70"/>
        <v>12.24</v>
      </c>
      <c r="H201" s="375">
        <f t="shared" si="70"/>
        <v>2.1999999999999957</v>
      </c>
      <c r="I201" s="375">
        <f t="shared" si="70"/>
        <v>1.6400000000000015</v>
      </c>
      <c r="J201" s="375">
        <f t="shared" si="70"/>
        <v>1.160000000000001</v>
      </c>
      <c r="K201" s="375">
        <f t="shared" si="70"/>
        <v>0.77999999999999847</v>
      </c>
      <c r="L201" s="375">
        <f t="shared" si="70"/>
        <v>0.50000000000000044</v>
      </c>
      <c r="M201" s="375">
        <f t="shared" si="70"/>
        <v>0.40000000000000036</v>
      </c>
      <c r="N201" s="375">
        <f t="shared" si="70"/>
        <v>0</v>
      </c>
      <c r="O201" s="375">
        <f t="shared" si="70"/>
        <v>0</v>
      </c>
      <c r="P201" s="375">
        <f t="shared" si="70"/>
        <v>0</v>
      </c>
      <c r="Q201" s="375">
        <f t="shared" si="70"/>
        <v>0</v>
      </c>
      <c r="R201" s="375">
        <f t="shared" si="70"/>
        <v>0</v>
      </c>
      <c r="S201" s="375">
        <f t="shared" si="70"/>
        <v>0</v>
      </c>
      <c r="T201" s="375">
        <f t="shared" si="70"/>
        <v>0</v>
      </c>
      <c r="U201" s="375">
        <f t="shared" si="70"/>
        <v>0</v>
      </c>
      <c r="V201" s="375">
        <f t="shared" si="70"/>
        <v>0</v>
      </c>
      <c r="W201" s="375">
        <f t="shared" si="70"/>
        <v>0</v>
      </c>
      <c r="X201" s="375">
        <f t="shared" si="70"/>
        <v>0</v>
      </c>
      <c r="Y201" s="369"/>
    </row>
    <row r="202" spans="1:26" ht="13.5" thickBot="1" x14ac:dyDescent="0.25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</row>
    <row r="203" spans="1:26" ht="13.5" thickBot="1" x14ac:dyDescent="0.25">
      <c r="A203" s="361" t="s">
        <v>538</v>
      </c>
      <c r="B203" s="359">
        <f>ROW(A203)</f>
        <v>203</v>
      </c>
      <c r="C203" s="363" t="s">
        <v>116</v>
      </c>
      <c r="D203" s="353">
        <f>SUM(B206:Y206)</f>
        <v>143.08845000000002</v>
      </c>
      <c r="E203" s="363" t="s">
        <v>115</v>
      </c>
      <c r="F203" s="354">
        <f>D203/g/J203</f>
        <v>168.23504721190514</v>
      </c>
      <c r="G203" s="363" t="s">
        <v>57</v>
      </c>
      <c r="H203" s="64">
        <v>0.17249999999999999</v>
      </c>
      <c r="I203" s="363" t="s">
        <v>270</v>
      </c>
      <c r="J203" s="355">
        <f>H203-L203</f>
        <v>8.6699999999999985E-2</v>
      </c>
      <c r="K203" s="363" t="s">
        <v>271</v>
      </c>
      <c r="L203" s="64">
        <v>8.5800000000000001E-2</v>
      </c>
      <c r="M203" s="363" t="s">
        <v>58</v>
      </c>
      <c r="N203" s="65">
        <v>114</v>
      </c>
      <c r="O203" s="363" t="s">
        <v>60</v>
      </c>
      <c r="P203" s="65">
        <v>114</v>
      </c>
      <c r="Q203" s="363" t="s">
        <v>61</v>
      </c>
      <c r="R203" s="65">
        <v>228</v>
      </c>
      <c r="S203" s="363" t="s">
        <v>62</v>
      </c>
      <c r="T203" s="65">
        <v>24</v>
      </c>
      <c r="U203" s="363" t="s">
        <v>55</v>
      </c>
      <c r="V203" s="66" t="s">
        <v>120</v>
      </c>
      <c r="W203" s="463" t="s">
        <v>394</v>
      </c>
      <c r="X203" s="465">
        <v>0.97</v>
      </c>
      <c r="Y203" s="463" t="s">
        <v>393</v>
      </c>
      <c r="Z203" s="358">
        <v>11</v>
      </c>
    </row>
    <row r="204" spans="1:26" x14ac:dyDescent="0.2">
      <c r="A204" s="362" t="s">
        <v>33</v>
      </c>
      <c r="B204" s="370">
        <v>0</v>
      </c>
      <c r="C204" s="371">
        <v>8.0000000000000002E-3</v>
      </c>
      <c r="D204" s="371">
        <v>1.2999999999999999E-2</v>
      </c>
      <c r="E204" s="371">
        <v>2.1999999999999999E-2</v>
      </c>
      <c r="F204" s="371">
        <v>3.5000000000000003E-2</v>
      </c>
      <c r="G204" s="371">
        <v>6.3E-2</v>
      </c>
      <c r="H204" s="371">
        <v>0.10299999999999999</v>
      </c>
      <c r="I204" s="371">
        <v>0.19600000000000001</v>
      </c>
      <c r="J204" s="371">
        <v>0.311</v>
      </c>
      <c r="K204" s="371">
        <v>0.47399999999999998</v>
      </c>
      <c r="L204" s="371">
        <v>0.56399999999999995</v>
      </c>
      <c r="M204" s="371">
        <v>0.76200000000000001</v>
      </c>
      <c r="N204" s="371">
        <v>0.85799999999999998</v>
      </c>
      <c r="O204" s="371">
        <v>0.92800000000000005</v>
      </c>
      <c r="P204" s="371">
        <v>1.038</v>
      </c>
      <c r="Q204" s="371">
        <v>1.08</v>
      </c>
      <c r="R204" s="371">
        <v>1.131</v>
      </c>
      <c r="S204" s="371">
        <v>1.1850000000000001</v>
      </c>
      <c r="T204" s="371">
        <v>1.224</v>
      </c>
      <c r="U204" s="371">
        <v>1.258</v>
      </c>
      <c r="V204" s="371">
        <v>1.4</v>
      </c>
      <c r="W204" s="371">
        <v>1.4410000000000001</v>
      </c>
      <c r="X204" s="371">
        <v>2</v>
      </c>
      <c r="Y204" s="381">
        <v>1000</v>
      </c>
    </row>
    <row r="205" spans="1:26" x14ac:dyDescent="0.2">
      <c r="A205" s="378" t="s">
        <v>34</v>
      </c>
      <c r="B205" s="372">
        <v>0</v>
      </c>
      <c r="C205" s="373">
        <v>168.643</v>
      </c>
      <c r="D205" s="373">
        <v>177.339</v>
      </c>
      <c r="E205" s="373">
        <v>177.86600000000001</v>
      </c>
      <c r="F205" s="373">
        <v>171.27799999999999</v>
      </c>
      <c r="G205" s="373">
        <v>157.839</v>
      </c>
      <c r="H205" s="373">
        <v>154.941</v>
      </c>
      <c r="I205" s="373">
        <v>148.88</v>
      </c>
      <c r="J205" s="373">
        <v>144.137</v>
      </c>
      <c r="K205" s="373">
        <v>138.07599999999999</v>
      </c>
      <c r="L205" s="373">
        <v>135.70500000000001</v>
      </c>
      <c r="M205" s="373">
        <v>125.955</v>
      </c>
      <c r="N205" s="373">
        <v>116.733</v>
      </c>
      <c r="O205" s="373">
        <v>101.71299999999999</v>
      </c>
      <c r="P205" s="373">
        <v>57.444000000000003</v>
      </c>
      <c r="Q205" s="373">
        <v>42.688000000000002</v>
      </c>
      <c r="R205" s="373">
        <v>31.884</v>
      </c>
      <c r="S205" s="373">
        <v>17.655000000000001</v>
      </c>
      <c r="T205" s="373">
        <v>9.4860000000000007</v>
      </c>
      <c r="U205" s="373">
        <v>5.27</v>
      </c>
      <c r="V205" s="373">
        <v>0.79100000000000004</v>
      </c>
      <c r="W205" s="373">
        <v>0</v>
      </c>
      <c r="X205" s="373">
        <f>W205</f>
        <v>0</v>
      </c>
      <c r="Y205" s="382">
        <v>0</v>
      </c>
    </row>
    <row r="206" spans="1:26" ht="13.5" thickBot="1" x14ac:dyDescent="0.25">
      <c r="A206" s="379" t="s">
        <v>117</v>
      </c>
      <c r="B206" s="374">
        <f t="shared" ref="B206:X206" si="71">(C205+B205)*(C204-B204)/2</f>
        <v>0.67457200000000006</v>
      </c>
      <c r="C206" s="375">
        <f t="shared" si="71"/>
        <v>0.86495499999999981</v>
      </c>
      <c r="D206" s="375">
        <f t="shared" si="71"/>
        <v>1.5984225000000001</v>
      </c>
      <c r="E206" s="375">
        <f t="shared" si="71"/>
        <v>2.2694360000000007</v>
      </c>
      <c r="F206" s="375">
        <f t="shared" si="71"/>
        <v>4.6076379999999988</v>
      </c>
      <c r="G206" s="375">
        <f t="shared" si="71"/>
        <v>6.2555999999999985</v>
      </c>
      <c r="H206" s="375">
        <f t="shared" si="71"/>
        <v>14.127676500000003</v>
      </c>
      <c r="I206" s="375">
        <f t="shared" si="71"/>
        <v>16.848477499999998</v>
      </c>
      <c r="J206" s="375">
        <f t="shared" si="71"/>
        <v>23.000359499999995</v>
      </c>
      <c r="K206" s="375">
        <f t="shared" si="71"/>
        <v>12.320144999999997</v>
      </c>
      <c r="L206" s="375">
        <f t="shared" si="71"/>
        <v>25.904340000000012</v>
      </c>
      <c r="M206" s="375">
        <f t="shared" si="71"/>
        <v>11.649023999999997</v>
      </c>
      <c r="N206" s="375">
        <f t="shared" si="71"/>
        <v>7.6456100000000067</v>
      </c>
      <c r="O206" s="375">
        <f t="shared" si="71"/>
        <v>8.7536349999999974</v>
      </c>
      <c r="P206" s="375">
        <f t="shared" si="71"/>
        <v>2.1027720000000021</v>
      </c>
      <c r="Q206" s="375">
        <f t="shared" si="71"/>
        <v>1.9015859999999976</v>
      </c>
      <c r="R206" s="375">
        <f t="shared" si="71"/>
        <v>1.3375530000000013</v>
      </c>
      <c r="S206" s="375">
        <f t="shared" si="71"/>
        <v>0.52924949999999904</v>
      </c>
      <c r="T206" s="375">
        <f t="shared" si="71"/>
        <v>0.25085200000000024</v>
      </c>
      <c r="U206" s="375">
        <f t="shared" si="71"/>
        <v>0.43033099999999969</v>
      </c>
      <c r="V206" s="375">
        <f t="shared" si="71"/>
        <v>1.621550000000006E-2</v>
      </c>
      <c r="W206" s="375">
        <f t="shared" si="71"/>
        <v>0</v>
      </c>
      <c r="X206" s="375">
        <f t="shared" si="71"/>
        <v>0</v>
      </c>
      <c r="Y206" s="369"/>
    </row>
    <row r="207" spans="1:26" ht="13.5" thickBot="1" x14ac:dyDescent="0.25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</row>
    <row r="208" spans="1:26" ht="13.5" thickBot="1" x14ac:dyDescent="0.25">
      <c r="A208" s="361" t="s">
        <v>537</v>
      </c>
      <c r="B208" s="359">
        <f>ROW(A208)</f>
        <v>208</v>
      </c>
      <c r="C208" s="363" t="s">
        <v>116</v>
      </c>
      <c r="D208" s="353">
        <f>SUM(B211:Y211)</f>
        <v>139.423417</v>
      </c>
      <c r="E208" s="363" t="s">
        <v>115</v>
      </c>
      <c r="F208" s="354">
        <f>D208/g/J208</f>
        <v>158.62027745922524</v>
      </c>
      <c r="G208" s="363" t="s">
        <v>57</v>
      </c>
      <c r="H208" s="64">
        <v>0.19450000000000001</v>
      </c>
      <c r="I208" s="363" t="s">
        <v>270</v>
      </c>
      <c r="J208" s="355">
        <f>H208-L208</f>
        <v>8.9600000000000013E-2</v>
      </c>
      <c r="K208" s="363" t="s">
        <v>271</v>
      </c>
      <c r="L208" s="64">
        <v>0.10489999999999999</v>
      </c>
      <c r="M208" s="363" t="s">
        <v>58</v>
      </c>
      <c r="N208" s="65">
        <v>114</v>
      </c>
      <c r="O208" s="363" t="s">
        <v>60</v>
      </c>
      <c r="P208" s="65">
        <v>144</v>
      </c>
      <c r="Q208" s="363" t="s">
        <v>61</v>
      </c>
      <c r="R208" s="65">
        <v>228</v>
      </c>
      <c r="S208" s="363" t="s">
        <v>62</v>
      </c>
      <c r="T208" s="65">
        <v>24</v>
      </c>
      <c r="U208" s="363" t="s">
        <v>55</v>
      </c>
      <c r="V208" s="66" t="s">
        <v>120</v>
      </c>
      <c r="W208" s="463" t="s">
        <v>394</v>
      </c>
      <c r="X208" s="465">
        <v>1.3</v>
      </c>
      <c r="Y208" s="463" t="s">
        <v>393</v>
      </c>
      <c r="Z208" s="358">
        <v>12</v>
      </c>
    </row>
    <row r="209" spans="1:26" x14ac:dyDescent="0.2">
      <c r="A209" s="362" t="s">
        <v>33</v>
      </c>
      <c r="B209" s="370">
        <v>0</v>
      </c>
      <c r="C209" s="371">
        <v>1.0999999999999999E-2</v>
      </c>
      <c r="D209" s="371">
        <v>2.1999999999999999E-2</v>
      </c>
      <c r="E209" s="371">
        <v>4.5999999999999999E-2</v>
      </c>
      <c r="F209" s="371">
        <v>8.1000000000000003E-2</v>
      </c>
      <c r="G209" s="371">
        <v>0.219</v>
      </c>
      <c r="H209" s="371">
        <v>0.253</v>
      </c>
      <c r="I209" s="371">
        <v>0.27400000000000002</v>
      </c>
      <c r="J209" s="371">
        <v>0.30499999999999999</v>
      </c>
      <c r="K209" s="371">
        <v>0.41199999999999998</v>
      </c>
      <c r="L209" s="371">
        <v>0.78900000000000003</v>
      </c>
      <c r="M209" s="371">
        <v>0.89900000000000002</v>
      </c>
      <c r="N209" s="371">
        <v>0.95299999999999996</v>
      </c>
      <c r="O209" s="371">
        <v>0.999</v>
      </c>
      <c r="P209" s="371">
        <v>1.03</v>
      </c>
      <c r="Q209" s="371">
        <v>1.0569999999999999</v>
      </c>
      <c r="R209" s="371">
        <v>1.1020000000000001</v>
      </c>
      <c r="S209" s="371">
        <v>1.1539999999999999</v>
      </c>
      <c r="T209" s="371">
        <v>1.1970000000000001</v>
      </c>
      <c r="U209" s="371">
        <v>1.2769999999999999</v>
      </c>
      <c r="V209" s="371">
        <v>1.335</v>
      </c>
      <c r="W209" s="371">
        <v>1.4510000000000001</v>
      </c>
      <c r="X209" s="371">
        <v>2</v>
      </c>
      <c r="Y209" s="381">
        <v>1000</v>
      </c>
    </row>
    <row r="210" spans="1:26" x14ac:dyDescent="0.2">
      <c r="A210" s="378" t="s">
        <v>34</v>
      </c>
      <c r="B210" s="372">
        <v>0</v>
      </c>
      <c r="C210" s="373">
        <v>198.41800000000001</v>
      </c>
      <c r="D210" s="373">
        <v>221.83500000000001</v>
      </c>
      <c r="E210" s="373">
        <v>212.65799999999999</v>
      </c>
      <c r="F210" s="373">
        <v>218.35400000000001</v>
      </c>
      <c r="G210" s="373">
        <v>204.43</v>
      </c>
      <c r="H210" s="373">
        <v>195.886</v>
      </c>
      <c r="I210" s="373">
        <v>183.54400000000001</v>
      </c>
      <c r="J210" s="373">
        <v>88.290999999999997</v>
      </c>
      <c r="K210" s="373">
        <v>93.671000000000006</v>
      </c>
      <c r="L210" s="373">
        <v>93.986999999999995</v>
      </c>
      <c r="M210" s="373">
        <v>91.138999999999996</v>
      </c>
      <c r="N210" s="373">
        <v>89.873000000000005</v>
      </c>
      <c r="O210" s="373">
        <v>87.025000000000006</v>
      </c>
      <c r="P210" s="373">
        <v>81.328999999999994</v>
      </c>
      <c r="Q210" s="373">
        <v>69.936999999999998</v>
      </c>
      <c r="R210" s="373">
        <v>54.113999999999997</v>
      </c>
      <c r="S210" s="373">
        <v>42.405000000000001</v>
      </c>
      <c r="T210" s="373">
        <v>31.646000000000001</v>
      </c>
      <c r="U210" s="373">
        <v>17.088999999999999</v>
      </c>
      <c r="V210" s="373">
        <v>9.81</v>
      </c>
      <c r="W210" s="373">
        <v>0</v>
      </c>
      <c r="X210" s="373">
        <v>0</v>
      </c>
      <c r="Y210" s="382">
        <v>0</v>
      </c>
    </row>
    <row r="211" spans="1:26" ht="13.5" thickBot="1" x14ac:dyDescent="0.25">
      <c r="A211" s="379" t="s">
        <v>117</v>
      </c>
      <c r="B211" s="374">
        <f t="shared" ref="B211:X211" si="72">(C210+B210)*(C209-B209)/2</f>
        <v>1.091299</v>
      </c>
      <c r="C211" s="375">
        <f t="shared" si="72"/>
        <v>2.3113915</v>
      </c>
      <c r="D211" s="375">
        <f t="shared" si="72"/>
        <v>5.2139160000000002</v>
      </c>
      <c r="E211" s="375">
        <f t="shared" si="72"/>
        <v>7.5427100000000005</v>
      </c>
      <c r="F211" s="375">
        <f t="shared" si="72"/>
        <v>29.172096000000003</v>
      </c>
      <c r="G211" s="375">
        <f t="shared" si="72"/>
        <v>6.8053720000000011</v>
      </c>
      <c r="H211" s="375">
        <f t="shared" si="72"/>
        <v>3.9840150000000034</v>
      </c>
      <c r="I211" s="375">
        <f t="shared" si="72"/>
        <v>4.2134424999999966</v>
      </c>
      <c r="J211" s="375">
        <f t="shared" si="72"/>
        <v>9.7349669999999975</v>
      </c>
      <c r="K211" s="375">
        <f t="shared" si="72"/>
        <v>35.373533000000009</v>
      </c>
      <c r="L211" s="375">
        <f t="shared" si="72"/>
        <v>10.181929999999998</v>
      </c>
      <c r="M211" s="375">
        <f t="shared" si="72"/>
        <v>4.8873239999999942</v>
      </c>
      <c r="N211" s="375">
        <f t="shared" si="72"/>
        <v>4.068654000000004</v>
      </c>
      <c r="O211" s="375">
        <f t="shared" si="72"/>
        <v>2.6094870000000019</v>
      </c>
      <c r="P211" s="375">
        <f t="shared" si="72"/>
        <v>2.0420909999999934</v>
      </c>
      <c r="Q211" s="375">
        <f t="shared" si="72"/>
        <v>2.791147500000009</v>
      </c>
      <c r="R211" s="375">
        <f t="shared" si="72"/>
        <v>2.5094939999999917</v>
      </c>
      <c r="S211" s="375">
        <f t="shared" si="72"/>
        <v>1.5920965000000056</v>
      </c>
      <c r="T211" s="375">
        <f t="shared" si="72"/>
        <v>1.9493999999999962</v>
      </c>
      <c r="U211" s="375">
        <f t="shared" si="72"/>
        <v>0.78007100000000074</v>
      </c>
      <c r="V211" s="375">
        <f t="shared" si="72"/>
        <v>0.56898000000000049</v>
      </c>
      <c r="W211" s="375">
        <f t="shared" si="72"/>
        <v>0</v>
      </c>
      <c r="X211" s="375">
        <f t="shared" si="72"/>
        <v>0</v>
      </c>
      <c r="Y211" s="369"/>
    </row>
    <row r="212" spans="1:26" ht="13.5" thickBot="1" x14ac:dyDescent="0.25">
      <c r="A212" s="6" t="s">
        <v>315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</row>
    <row r="213" spans="1:26" ht="13.5" thickBot="1" x14ac:dyDescent="0.25">
      <c r="A213" s="361" t="s">
        <v>375</v>
      </c>
      <c r="B213" s="359">
        <f>ROW(A213)</f>
        <v>213</v>
      </c>
      <c r="C213" s="363" t="s">
        <v>116</v>
      </c>
      <c r="D213" s="353">
        <f>SUM(B216:Y216)</f>
        <v>82.798500000000018</v>
      </c>
      <c r="E213" s="363" t="s">
        <v>115</v>
      </c>
      <c r="F213" s="354">
        <f>D213/g/J213</f>
        <v>131.87834480122325</v>
      </c>
      <c r="G213" s="363" t="s">
        <v>57</v>
      </c>
      <c r="H213" s="64">
        <v>0.152</v>
      </c>
      <c r="I213" s="363" t="s">
        <v>270</v>
      </c>
      <c r="J213" s="355">
        <f>H213-L213</f>
        <v>6.4000000000000001E-2</v>
      </c>
      <c r="K213" s="363" t="s">
        <v>271</v>
      </c>
      <c r="L213" s="64">
        <v>8.7999999999999995E-2</v>
      </c>
      <c r="M213" s="363" t="s">
        <v>58</v>
      </c>
      <c r="N213" s="65">
        <v>71</v>
      </c>
      <c r="O213" s="363" t="s">
        <v>60</v>
      </c>
      <c r="P213" s="65">
        <v>71</v>
      </c>
      <c r="Q213" s="363" t="s">
        <v>61</v>
      </c>
      <c r="R213" s="65">
        <v>142</v>
      </c>
      <c r="S213" s="363" t="s">
        <v>62</v>
      </c>
      <c r="T213" s="65">
        <v>29</v>
      </c>
      <c r="U213" s="363" t="s">
        <v>55</v>
      </c>
      <c r="V213" s="66" t="s">
        <v>120</v>
      </c>
      <c r="W213" s="463" t="s">
        <v>394</v>
      </c>
      <c r="X213" s="465">
        <v>0.96</v>
      </c>
      <c r="Y213" s="463" t="s">
        <v>393</v>
      </c>
      <c r="Z213" s="358">
        <v>11</v>
      </c>
    </row>
    <row r="214" spans="1:26" x14ac:dyDescent="0.2">
      <c r="A214" s="362" t="s">
        <v>33</v>
      </c>
      <c r="B214" s="370">
        <v>0</v>
      </c>
      <c r="C214" s="371">
        <v>0.02</v>
      </c>
      <c r="D214" s="371">
        <v>0.03</v>
      </c>
      <c r="E214" s="371">
        <v>0.04</v>
      </c>
      <c r="F214" s="371">
        <v>0.06</v>
      </c>
      <c r="G214" s="371">
        <v>0.08</v>
      </c>
      <c r="H214" s="371">
        <v>0.15</v>
      </c>
      <c r="I214" s="371">
        <v>0.18</v>
      </c>
      <c r="J214" s="371">
        <v>0.2</v>
      </c>
      <c r="K214" s="371">
        <v>0.3</v>
      </c>
      <c r="L214" s="371">
        <v>0.4</v>
      </c>
      <c r="M214" s="371">
        <v>0.5</v>
      </c>
      <c r="N214" s="371">
        <v>0.6</v>
      </c>
      <c r="O214" s="371">
        <v>0.7</v>
      </c>
      <c r="P214" s="371">
        <v>0.82</v>
      </c>
      <c r="Q214" s="371">
        <v>0.93</v>
      </c>
      <c r="R214" s="371">
        <v>1</v>
      </c>
      <c r="S214" s="371">
        <f t="shared" ref="S214:X215" si="73">R214</f>
        <v>1</v>
      </c>
      <c r="T214" s="371">
        <f t="shared" si="73"/>
        <v>1</v>
      </c>
      <c r="U214" s="371">
        <f t="shared" si="73"/>
        <v>1</v>
      </c>
      <c r="V214" s="371">
        <f t="shared" si="73"/>
        <v>1</v>
      </c>
      <c r="W214" s="371">
        <f t="shared" si="73"/>
        <v>1</v>
      </c>
      <c r="X214" s="371">
        <v>2</v>
      </c>
      <c r="Y214" s="381">
        <v>1000</v>
      </c>
    </row>
    <row r="215" spans="1:26" x14ac:dyDescent="0.2">
      <c r="A215" s="378" t="s">
        <v>34</v>
      </c>
      <c r="B215" s="372">
        <v>0</v>
      </c>
      <c r="C215" s="373">
        <v>41.9</v>
      </c>
      <c r="D215" s="373">
        <v>92.1</v>
      </c>
      <c r="E215" s="373">
        <v>116.7</v>
      </c>
      <c r="F215" s="373">
        <v>112.7</v>
      </c>
      <c r="G215" s="373">
        <v>82.7</v>
      </c>
      <c r="H215" s="373">
        <v>84.7</v>
      </c>
      <c r="I215" s="373">
        <v>86.2</v>
      </c>
      <c r="J215" s="373">
        <v>87.9</v>
      </c>
      <c r="K215" s="373">
        <v>90.9</v>
      </c>
      <c r="L215" s="373">
        <v>93.9</v>
      </c>
      <c r="M215" s="373">
        <v>95.3</v>
      </c>
      <c r="N215" s="373">
        <v>96.8</v>
      </c>
      <c r="O215" s="373">
        <v>97.6</v>
      </c>
      <c r="P215" s="373">
        <v>108.2</v>
      </c>
      <c r="Q215" s="373">
        <v>11</v>
      </c>
      <c r="R215" s="373">
        <v>0</v>
      </c>
      <c r="S215" s="373">
        <f t="shared" si="73"/>
        <v>0</v>
      </c>
      <c r="T215" s="373">
        <f t="shared" si="73"/>
        <v>0</v>
      </c>
      <c r="U215" s="373">
        <f t="shared" si="73"/>
        <v>0</v>
      </c>
      <c r="V215" s="373">
        <f t="shared" si="73"/>
        <v>0</v>
      </c>
      <c r="W215" s="373">
        <f t="shared" si="73"/>
        <v>0</v>
      </c>
      <c r="X215" s="373">
        <f t="shared" si="73"/>
        <v>0</v>
      </c>
      <c r="Y215" s="382">
        <v>0</v>
      </c>
    </row>
    <row r="216" spans="1:26" ht="13.5" thickBot="1" x14ac:dyDescent="0.25">
      <c r="A216" s="379" t="s">
        <v>117</v>
      </c>
      <c r="B216" s="374">
        <f t="shared" ref="B216:V216" si="74">(C215+B215)*(C214-B214)/2</f>
        <v>0.41899999999999998</v>
      </c>
      <c r="C216" s="375">
        <f t="shared" si="74"/>
        <v>0.66999999999999993</v>
      </c>
      <c r="D216" s="375">
        <f t="shared" si="74"/>
        <v>1.0440000000000003</v>
      </c>
      <c r="E216" s="375">
        <f t="shared" si="74"/>
        <v>2.2939999999999996</v>
      </c>
      <c r="F216" s="375">
        <f t="shared" si="74"/>
        <v>1.9540000000000004</v>
      </c>
      <c r="G216" s="375">
        <f t="shared" si="74"/>
        <v>5.859</v>
      </c>
      <c r="H216" s="375">
        <f t="shared" si="74"/>
        <v>2.5634999999999999</v>
      </c>
      <c r="I216" s="375">
        <f t="shared" si="74"/>
        <v>1.7410000000000019</v>
      </c>
      <c r="J216" s="375">
        <f>(K215+J215)*(K214-J214)/2</f>
        <v>8.9399999999999977</v>
      </c>
      <c r="K216" s="375">
        <f t="shared" si="74"/>
        <v>9.2400000000000038</v>
      </c>
      <c r="L216" s="375">
        <f t="shared" si="74"/>
        <v>9.4599999999999973</v>
      </c>
      <c r="M216" s="375">
        <f t="shared" si="74"/>
        <v>9.6049999999999969</v>
      </c>
      <c r="N216" s="375">
        <f t="shared" si="74"/>
        <v>9.7199999999999971</v>
      </c>
      <c r="O216" s="375">
        <f t="shared" si="74"/>
        <v>12.348000000000001</v>
      </c>
      <c r="P216" s="375">
        <f t="shared" si="74"/>
        <v>6.5560000000000063</v>
      </c>
      <c r="Q216" s="375">
        <f t="shared" si="74"/>
        <v>0.38499999999999973</v>
      </c>
      <c r="R216" s="375">
        <f t="shared" si="74"/>
        <v>0</v>
      </c>
      <c r="S216" s="375">
        <f>(T215+S215)*(T214-S214)/2</f>
        <v>0</v>
      </c>
      <c r="T216" s="375">
        <f t="shared" si="74"/>
        <v>0</v>
      </c>
      <c r="U216" s="375">
        <f t="shared" si="74"/>
        <v>0</v>
      </c>
      <c r="V216" s="375">
        <f t="shared" si="74"/>
        <v>0</v>
      </c>
      <c r="W216" s="375">
        <f>(X215+W215)*(X214-W214)/2</f>
        <v>0</v>
      </c>
      <c r="X216" s="375">
        <f>(Y215+X215)*(Y214-X214)/2</f>
        <v>0</v>
      </c>
      <c r="Y216" s="369"/>
    </row>
    <row r="217" spans="1:26" ht="13.5" thickBot="1" x14ac:dyDescent="0.25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</row>
    <row r="218" spans="1:26" ht="13.5" thickBot="1" x14ac:dyDescent="0.25">
      <c r="A218" s="361" t="s">
        <v>376</v>
      </c>
      <c r="B218" s="359">
        <f>ROW(A218)</f>
        <v>218</v>
      </c>
      <c r="C218" s="363" t="s">
        <v>116</v>
      </c>
      <c r="D218" s="353">
        <f>SUM(B221:Y221)</f>
        <v>98.257101163036367</v>
      </c>
      <c r="E218" s="363" t="s">
        <v>115</v>
      </c>
      <c r="F218" s="354">
        <f>D218/g/J218</f>
        <v>177.58890761893778</v>
      </c>
      <c r="G218" s="363" t="s">
        <v>57</v>
      </c>
      <c r="H218" s="64">
        <v>0.14319999999999999</v>
      </c>
      <c r="I218" s="363" t="s">
        <v>270</v>
      </c>
      <c r="J218" s="355">
        <f>H218-L218</f>
        <v>5.6399999999999992E-2</v>
      </c>
      <c r="K218" s="363" t="s">
        <v>271</v>
      </c>
      <c r="L218" s="64">
        <v>8.6800000000000002E-2</v>
      </c>
      <c r="M218" s="363" t="s">
        <v>58</v>
      </c>
      <c r="N218" s="65">
        <v>71</v>
      </c>
      <c r="O218" s="363" t="s">
        <v>60</v>
      </c>
      <c r="P218" s="65">
        <v>71</v>
      </c>
      <c r="Q218" s="363" t="s">
        <v>61</v>
      </c>
      <c r="R218" s="65">
        <v>142</v>
      </c>
      <c r="S218" s="363" t="s">
        <v>62</v>
      </c>
      <c r="T218" s="65">
        <v>29</v>
      </c>
      <c r="U218" s="363" t="s">
        <v>55</v>
      </c>
      <c r="V218" s="66" t="s">
        <v>120</v>
      </c>
      <c r="W218" s="463" t="s">
        <v>394</v>
      </c>
      <c r="X218" s="465">
        <v>1.1499999999999999</v>
      </c>
      <c r="Y218" s="463" t="s">
        <v>393</v>
      </c>
      <c r="Z218" s="358">
        <v>14</v>
      </c>
    </row>
    <row r="219" spans="1:26" x14ac:dyDescent="0.2">
      <c r="A219" s="362" t="s">
        <v>33</v>
      </c>
      <c r="B219" s="370">
        <v>0</v>
      </c>
      <c r="C219" s="371">
        <v>1.4999999999999999E-2</v>
      </c>
      <c r="D219" s="371">
        <v>0.03</v>
      </c>
      <c r="E219" s="371">
        <v>4.4999999999999998E-2</v>
      </c>
      <c r="F219" s="371">
        <v>0.06</v>
      </c>
      <c r="G219" s="371">
        <v>7.4999999999999997E-2</v>
      </c>
      <c r="H219" s="371">
        <v>0.09</v>
      </c>
      <c r="I219" s="371">
        <v>0.105</v>
      </c>
      <c r="J219" s="371">
        <v>0.12</v>
      </c>
      <c r="K219" s="371">
        <v>0.18</v>
      </c>
      <c r="L219" s="371">
        <v>0.24</v>
      </c>
      <c r="M219" s="371">
        <v>0.3</v>
      </c>
      <c r="N219" s="371">
        <v>0.48</v>
      </c>
      <c r="O219" s="371">
        <v>0.6</v>
      </c>
      <c r="P219" s="371">
        <v>0.66</v>
      </c>
      <c r="Q219" s="371">
        <v>0.72</v>
      </c>
      <c r="R219" s="371">
        <v>0.78</v>
      </c>
      <c r="S219" s="371">
        <v>0.84</v>
      </c>
      <c r="T219" s="371">
        <v>0.9</v>
      </c>
      <c r="U219" s="371">
        <v>0.96</v>
      </c>
      <c r="V219" s="371">
        <v>1.0349999999999999</v>
      </c>
      <c r="W219" s="371">
        <v>1.2</v>
      </c>
      <c r="X219" s="371">
        <v>2</v>
      </c>
      <c r="Y219" s="381">
        <v>1000</v>
      </c>
    </row>
    <row r="220" spans="1:26" x14ac:dyDescent="0.2">
      <c r="A220" s="378" t="s">
        <v>34</v>
      </c>
      <c r="B220" s="372">
        <v>0</v>
      </c>
      <c r="C220" s="376">
        <v>99.328788958822486</v>
      </c>
      <c r="D220" s="376">
        <v>109.07039432469</v>
      </c>
      <c r="E220" s="376">
        <v>65.255411286427503</v>
      </c>
      <c r="F220" s="376">
        <v>67.568486533117493</v>
      </c>
      <c r="G220" s="376">
        <v>73.929443461515007</v>
      </c>
      <c r="H220" s="376">
        <v>74.329783408057494</v>
      </c>
      <c r="I220" s="376">
        <v>78.1552540083525</v>
      </c>
      <c r="J220" s="376">
        <v>78.600076171177506</v>
      </c>
      <c r="K220" s="376">
        <v>82.203135690059995</v>
      </c>
      <c r="L220" s="376">
        <v>84.516210936749999</v>
      </c>
      <c r="M220" s="376">
        <v>88.51961040217499</v>
      </c>
      <c r="N220" s="376">
        <v>95.102978411984992</v>
      </c>
      <c r="O220" s="376">
        <v>95.547800574809997</v>
      </c>
      <c r="P220" s="376">
        <v>94.480227384029988</v>
      </c>
      <c r="Q220" s="376">
        <v>92.122669921057494</v>
      </c>
      <c r="R220" s="376">
        <v>90.743721216299988</v>
      </c>
      <c r="S220" s="376">
        <v>88.964432564999996</v>
      </c>
      <c r="T220" s="376">
        <v>85.405855262399996</v>
      </c>
      <c r="U220" s="376">
        <v>83.448637745970004</v>
      </c>
      <c r="V220" s="376">
        <v>88.074788239349999</v>
      </c>
      <c r="W220" s="376">
        <v>0</v>
      </c>
      <c r="X220" s="373">
        <v>0</v>
      </c>
      <c r="Y220" s="382">
        <v>0</v>
      </c>
    </row>
    <row r="221" spans="1:26" ht="13.5" thickBot="1" x14ac:dyDescent="0.25">
      <c r="A221" s="379" t="s">
        <v>117</v>
      </c>
      <c r="B221" s="374">
        <f t="shared" ref="B221:V221" si="75">(C220+B220)*(C219-B219)/2</f>
        <v>0.74496591719116867</v>
      </c>
      <c r="C221" s="375">
        <f t="shared" si="75"/>
        <v>1.5629938746263436</v>
      </c>
      <c r="D221" s="375">
        <f t="shared" si="75"/>
        <v>1.3074435420833814</v>
      </c>
      <c r="E221" s="375">
        <f t="shared" si="75"/>
        <v>0.99617923364658734</v>
      </c>
      <c r="F221" s="375">
        <f t="shared" si="75"/>
        <v>1.0612344749597438</v>
      </c>
      <c r="G221" s="375">
        <f t="shared" si="75"/>
        <v>1.1119442015217937</v>
      </c>
      <c r="H221" s="375">
        <f t="shared" si="75"/>
        <v>1.1436377806230749</v>
      </c>
      <c r="I221" s="375">
        <f t="shared" si="75"/>
        <v>1.175664976346475</v>
      </c>
      <c r="J221" s="375">
        <f>(K220+J220)*(K219-J219)/2</f>
        <v>4.824096355837125</v>
      </c>
      <c r="K221" s="375">
        <f t="shared" si="75"/>
        <v>5.0015803988042995</v>
      </c>
      <c r="L221" s="375">
        <f t="shared" si="75"/>
        <v>5.1910746401677494</v>
      </c>
      <c r="M221" s="375">
        <f t="shared" si="75"/>
        <v>16.526032993274399</v>
      </c>
      <c r="N221" s="375">
        <f t="shared" si="75"/>
        <v>11.439046739207699</v>
      </c>
      <c r="O221" s="375">
        <f t="shared" si="75"/>
        <v>5.7008408387652043</v>
      </c>
      <c r="P221" s="375">
        <f t="shared" si="75"/>
        <v>5.5980869191526192</v>
      </c>
      <c r="Q221" s="375">
        <f t="shared" si="75"/>
        <v>5.4859917341207289</v>
      </c>
      <c r="R221" s="375">
        <f t="shared" si="75"/>
        <v>5.3912446134389942</v>
      </c>
      <c r="S221" s="375">
        <f>(T220+S220)*(T219-S219)/2</f>
        <v>5.2311086348220037</v>
      </c>
      <c r="T221" s="375">
        <f t="shared" si="75"/>
        <v>5.0656347902510959</v>
      </c>
      <c r="U221" s="375">
        <f t="shared" si="75"/>
        <v>6.4321284744494962</v>
      </c>
      <c r="V221" s="375">
        <f t="shared" si="75"/>
        <v>7.2661700297463767</v>
      </c>
      <c r="W221" s="375">
        <f>(X220+W220)*(X219-W219)/2</f>
        <v>0</v>
      </c>
      <c r="X221" s="375">
        <f>(Y220+X220)*(Y219-X219)/2</f>
        <v>0</v>
      </c>
      <c r="Y221" s="369"/>
    </row>
    <row r="222" spans="1:26" ht="13.5" thickBot="1" x14ac:dyDescent="0.25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</row>
    <row r="223" spans="1:26" ht="13.5" thickBot="1" x14ac:dyDescent="0.25">
      <c r="A223" s="361" t="s">
        <v>377</v>
      </c>
      <c r="B223" s="359">
        <f>ROW(A223)</f>
        <v>223</v>
      </c>
      <c r="C223" s="363" t="s">
        <v>116</v>
      </c>
      <c r="D223" s="353">
        <f>SUM(B226:Y226)</f>
        <v>109.60639850000001</v>
      </c>
      <c r="E223" s="363" t="s">
        <v>115</v>
      </c>
      <c r="F223" s="354">
        <f>D223/g/J223</f>
        <v>194.31174666489383</v>
      </c>
      <c r="G223" s="363" t="s">
        <v>57</v>
      </c>
      <c r="H223" s="64">
        <v>0.14130000000000001</v>
      </c>
      <c r="I223" s="363" t="s">
        <v>270</v>
      </c>
      <c r="J223" s="355">
        <f>H223-L223</f>
        <v>5.7500000000000009E-2</v>
      </c>
      <c r="K223" s="363" t="s">
        <v>271</v>
      </c>
      <c r="L223" s="64">
        <v>8.3799999999999999E-2</v>
      </c>
      <c r="M223" s="363" t="s">
        <v>58</v>
      </c>
      <c r="N223" s="65">
        <v>71</v>
      </c>
      <c r="O223" s="363" t="s">
        <v>60</v>
      </c>
      <c r="P223" s="65">
        <v>71</v>
      </c>
      <c r="Q223" s="363" t="s">
        <v>61</v>
      </c>
      <c r="R223" s="65">
        <v>142</v>
      </c>
      <c r="S223" s="363" t="s">
        <v>62</v>
      </c>
      <c r="T223" s="65">
        <v>29</v>
      </c>
      <c r="U223" s="363" t="s">
        <v>55</v>
      </c>
      <c r="V223" s="66" t="s">
        <v>401</v>
      </c>
      <c r="W223" s="463" t="s">
        <v>394</v>
      </c>
      <c r="X223" s="465">
        <v>0.45</v>
      </c>
      <c r="Y223" s="463" t="s">
        <v>393</v>
      </c>
      <c r="Z223" s="358">
        <v>14</v>
      </c>
    </row>
    <row r="224" spans="1:26" x14ac:dyDescent="0.2">
      <c r="A224" s="362" t="s">
        <v>33</v>
      </c>
      <c r="B224" s="370">
        <v>0</v>
      </c>
      <c r="C224" s="371">
        <v>6.0000000000000001E-3</v>
      </c>
      <c r="D224" s="371">
        <v>1.0999999999999999E-2</v>
      </c>
      <c r="E224" s="371">
        <v>1.6E-2</v>
      </c>
      <c r="F224" s="371">
        <v>3.1E-2</v>
      </c>
      <c r="G224" s="371">
        <v>7.4999999999999997E-2</v>
      </c>
      <c r="H224" s="371">
        <v>0.122</v>
      </c>
      <c r="I224" s="371">
        <v>0.216</v>
      </c>
      <c r="J224" s="371">
        <v>0.25</v>
      </c>
      <c r="K224" s="371">
        <v>0.28699999999999998</v>
      </c>
      <c r="L224" s="371">
        <v>0.35399999999999998</v>
      </c>
      <c r="M224" s="371">
        <v>0.374</v>
      </c>
      <c r="N224" s="371">
        <v>0.4</v>
      </c>
      <c r="O224" s="371">
        <v>0.41299999999999998</v>
      </c>
      <c r="P224" s="371">
        <v>0.42</v>
      </c>
      <c r="Q224" s="371">
        <v>0.433</v>
      </c>
      <c r="R224" s="371">
        <v>0.44500000000000001</v>
      </c>
      <c r="S224" s="371">
        <v>0.45400000000000001</v>
      </c>
      <c r="T224" s="371">
        <f t="shared" ref="T224:X225" si="76">S224</f>
        <v>0.45400000000000001</v>
      </c>
      <c r="U224" s="371">
        <f t="shared" si="76"/>
        <v>0.45400000000000001</v>
      </c>
      <c r="V224" s="371">
        <f t="shared" si="76"/>
        <v>0.45400000000000001</v>
      </c>
      <c r="W224" s="371">
        <f t="shared" si="76"/>
        <v>0.45400000000000001</v>
      </c>
      <c r="X224" s="371">
        <v>2</v>
      </c>
      <c r="Y224" s="381">
        <v>1000</v>
      </c>
    </row>
    <row r="225" spans="1:26" x14ac:dyDescent="0.2">
      <c r="A225" s="378" t="s">
        <v>34</v>
      </c>
      <c r="B225" s="372">
        <v>0</v>
      </c>
      <c r="C225" s="373">
        <v>151.62100000000001</v>
      </c>
      <c r="D225" s="373">
        <v>198.07900000000001</v>
      </c>
      <c r="E225" s="373">
        <v>203.12100000000001</v>
      </c>
      <c r="F225" s="373">
        <v>201.68100000000001</v>
      </c>
      <c r="G225" s="373">
        <v>226.17</v>
      </c>
      <c r="H225" s="373">
        <v>250.3</v>
      </c>
      <c r="I225" s="373">
        <v>280.19200000000001</v>
      </c>
      <c r="J225" s="373">
        <v>287.03500000000003</v>
      </c>
      <c r="K225" s="373">
        <v>284.87400000000002</v>
      </c>
      <c r="L225" s="373">
        <v>269.74799999999999</v>
      </c>
      <c r="M225" s="373">
        <v>258.58300000000003</v>
      </c>
      <c r="N225" s="373">
        <v>233.37299999999999</v>
      </c>
      <c r="O225" s="373">
        <v>234.09399999999999</v>
      </c>
      <c r="P225" s="373">
        <v>227.61099999999999</v>
      </c>
      <c r="Q225" s="373">
        <v>137.935</v>
      </c>
      <c r="R225" s="373">
        <v>33.853999999999999</v>
      </c>
      <c r="S225" s="373">
        <v>0</v>
      </c>
      <c r="T225" s="373">
        <f t="shared" si="76"/>
        <v>0</v>
      </c>
      <c r="U225" s="373">
        <f t="shared" si="76"/>
        <v>0</v>
      </c>
      <c r="V225" s="373">
        <f t="shared" si="76"/>
        <v>0</v>
      </c>
      <c r="W225" s="373">
        <f t="shared" si="76"/>
        <v>0</v>
      </c>
      <c r="X225" s="373">
        <f t="shared" si="76"/>
        <v>0</v>
      </c>
      <c r="Y225" s="382">
        <v>0</v>
      </c>
    </row>
    <row r="226" spans="1:26" ht="13.5" thickBot="1" x14ac:dyDescent="0.25">
      <c r="A226" s="379" t="s">
        <v>117</v>
      </c>
      <c r="B226" s="374">
        <f t="shared" ref="B226:X226" si="77">(C225+B225)*(C224-B224)/2</f>
        <v>0.45486300000000002</v>
      </c>
      <c r="C226" s="375">
        <f t="shared" si="77"/>
        <v>0.87424999999999997</v>
      </c>
      <c r="D226" s="375">
        <f t="shared" si="77"/>
        <v>1.0030000000000003</v>
      </c>
      <c r="E226" s="375">
        <f t="shared" si="77"/>
        <v>3.0360149999999999</v>
      </c>
      <c r="F226" s="375">
        <f t="shared" si="77"/>
        <v>9.4127219999999987</v>
      </c>
      <c r="G226" s="375">
        <f t="shared" si="77"/>
        <v>11.197045000000001</v>
      </c>
      <c r="H226" s="375">
        <f t="shared" si="77"/>
        <v>24.933123999999999</v>
      </c>
      <c r="I226" s="375">
        <f t="shared" si="77"/>
        <v>9.6428590000000014</v>
      </c>
      <c r="J226" s="375">
        <f t="shared" si="77"/>
        <v>10.580316499999995</v>
      </c>
      <c r="K226" s="375">
        <f t="shared" si="77"/>
        <v>18.579837000000005</v>
      </c>
      <c r="L226" s="375">
        <f t="shared" si="77"/>
        <v>5.2833100000000046</v>
      </c>
      <c r="M226" s="375">
        <f t="shared" si="77"/>
        <v>6.3954280000000061</v>
      </c>
      <c r="N226" s="375">
        <f t="shared" si="77"/>
        <v>3.0385354999999898</v>
      </c>
      <c r="O226" s="375">
        <f t="shared" si="77"/>
        <v>1.6159675000000013</v>
      </c>
      <c r="P226" s="375">
        <f t="shared" si="77"/>
        <v>2.3760490000000019</v>
      </c>
      <c r="Q226" s="375">
        <f t="shared" si="77"/>
        <v>1.0307340000000009</v>
      </c>
      <c r="R226" s="375">
        <f t="shared" si="77"/>
        <v>0.15234300000000014</v>
      </c>
      <c r="S226" s="375">
        <f t="shared" si="77"/>
        <v>0</v>
      </c>
      <c r="T226" s="375">
        <f t="shared" si="77"/>
        <v>0</v>
      </c>
      <c r="U226" s="375">
        <f t="shared" si="77"/>
        <v>0</v>
      </c>
      <c r="V226" s="375">
        <f t="shared" si="77"/>
        <v>0</v>
      </c>
      <c r="W226" s="375">
        <f t="shared" si="77"/>
        <v>0</v>
      </c>
      <c r="X226" s="375">
        <f t="shared" si="77"/>
        <v>0</v>
      </c>
      <c r="Y226" s="369"/>
    </row>
    <row r="227" spans="1:26" ht="13.5" thickBot="1" x14ac:dyDescent="0.25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</row>
    <row r="228" spans="1:26" ht="13.5" thickBot="1" x14ac:dyDescent="0.25">
      <c r="A228" s="361" t="s">
        <v>378</v>
      </c>
      <c r="B228" s="359">
        <f>ROW(A228)</f>
        <v>228</v>
      </c>
      <c r="C228" s="363" t="s">
        <v>116</v>
      </c>
      <c r="D228" s="353">
        <f>SUM(B231:Y231)</f>
        <v>115.63</v>
      </c>
      <c r="E228" s="363" t="s">
        <v>115</v>
      </c>
      <c r="F228" s="354">
        <f>D228/g/J228</f>
        <v>199.77884897804037</v>
      </c>
      <c r="G228" s="363" t="s">
        <v>57</v>
      </c>
      <c r="H228" s="64">
        <v>0.14499999999999999</v>
      </c>
      <c r="I228" s="363" t="s">
        <v>270</v>
      </c>
      <c r="J228" s="355">
        <f>H228-L228</f>
        <v>5.8999999999999997E-2</v>
      </c>
      <c r="K228" s="363" t="s">
        <v>271</v>
      </c>
      <c r="L228" s="64">
        <v>8.5999999999999993E-2</v>
      </c>
      <c r="M228" s="363" t="s">
        <v>58</v>
      </c>
      <c r="N228" s="65">
        <v>71</v>
      </c>
      <c r="O228" s="363" t="s">
        <v>60</v>
      </c>
      <c r="P228" s="65">
        <v>71</v>
      </c>
      <c r="Q228" s="363" t="s">
        <v>61</v>
      </c>
      <c r="R228" s="65">
        <v>142</v>
      </c>
      <c r="S228" s="363" t="s">
        <v>62</v>
      </c>
      <c r="T228" s="65">
        <v>29</v>
      </c>
      <c r="U228" s="363" t="s">
        <v>55</v>
      </c>
      <c r="V228" s="66" t="s">
        <v>400</v>
      </c>
      <c r="W228" s="463" t="s">
        <v>394</v>
      </c>
      <c r="X228" s="465">
        <v>0.93</v>
      </c>
      <c r="Y228" s="463" t="s">
        <v>393</v>
      </c>
      <c r="Z228" s="358">
        <v>13</v>
      </c>
    </row>
    <row r="229" spans="1:26" x14ac:dyDescent="0.2">
      <c r="A229" s="362" t="s">
        <v>33</v>
      </c>
      <c r="B229" s="370">
        <v>0</v>
      </c>
      <c r="C229" s="371">
        <v>0.01</v>
      </c>
      <c r="D229" s="371">
        <v>0.02</v>
      </c>
      <c r="E229" s="371">
        <v>0.03</v>
      </c>
      <c r="F229" s="371">
        <v>0.04</v>
      </c>
      <c r="G229" s="371">
        <v>0.05</v>
      </c>
      <c r="H229" s="371">
        <v>0.1</v>
      </c>
      <c r="I229" s="371">
        <v>0.2</v>
      </c>
      <c r="J229" s="371">
        <v>0.3</v>
      </c>
      <c r="K229" s="371">
        <v>0.4</v>
      </c>
      <c r="L229" s="371">
        <v>0.6</v>
      </c>
      <c r="M229" s="371">
        <v>0.75</v>
      </c>
      <c r="N229" s="371">
        <v>0.81</v>
      </c>
      <c r="O229" s="371">
        <v>0.86</v>
      </c>
      <c r="P229" s="371">
        <v>0.9</v>
      </c>
      <c r="Q229" s="371">
        <v>0.95</v>
      </c>
      <c r="R229" s="371">
        <v>1</v>
      </c>
      <c r="S229" s="371">
        <v>1</v>
      </c>
      <c r="T229" s="371">
        <v>1</v>
      </c>
      <c r="U229" s="371">
        <v>1</v>
      </c>
      <c r="V229" s="371">
        <v>1</v>
      </c>
      <c r="W229" s="371">
        <v>1</v>
      </c>
      <c r="X229" s="371">
        <v>2</v>
      </c>
      <c r="Y229" s="381">
        <v>1000</v>
      </c>
    </row>
    <row r="230" spans="1:26" x14ac:dyDescent="0.2">
      <c r="A230" s="378" t="s">
        <v>34</v>
      </c>
      <c r="B230" s="372">
        <v>0</v>
      </c>
      <c r="C230" s="376">
        <v>55</v>
      </c>
      <c r="D230" s="376">
        <v>168</v>
      </c>
      <c r="E230" s="376">
        <v>157</v>
      </c>
      <c r="F230" s="376">
        <v>148</v>
      </c>
      <c r="G230" s="376">
        <v>125</v>
      </c>
      <c r="H230" s="376">
        <v>135</v>
      </c>
      <c r="I230" s="376">
        <v>141</v>
      </c>
      <c r="J230" s="376">
        <v>142</v>
      </c>
      <c r="K230" s="376">
        <v>141</v>
      </c>
      <c r="L230" s="376">
        <v>133</v>
      </c>
      <c r="M230" s="376">
        <v>127</v>
      </c>
      <c r="N230" s="376">
        <v>128</v>
      </c>
      <c r="O230" s="376">
        <v>60</v>
      </c>
      <c r="P230" s="376">
        <v>15</v>
      </c>
      <c r="Q230" s="376">
        <v>0</v>
      </c>
      <c r="R230" s="376">
        <v>0</v>
      </c>
      <c r="S230" s="376">
        <v>0</v>
      </c>
      <c r="T230" s="376">
        <v>0</v>
      </c>
      <c r="U230" s="376">
        <v>0</v>
      </c>
      <c r="V230" s="376">
        <v>0</v>
      </c>
      <c r="W230" s="376">
        <v>0</v>
      </c>
      <c r="X230" s="373">
        <v>0</v>
      </c>
      <c r="Y230" s="382">
        <v>0</v>
      </c>
    </row>
    <row r="231" spans="1:26" ht="13.5" thickBot="1" x14ac:dyDescent="0.25">
      <c r="A231" s="379" t="s">
        <v>117</v>
      </c>
      <c r="B231" s="374">
        <f t="shared" ref="B231:X231" si="78">(C230+B230)*(C229-B229)/2</f>
        <v>0.27500000000000002</v>
      </c>
      <c r="C231" s="375">
        <f t="shared" si="78"/>
        <v>1.115</v>
      </c>
      <c r="D231" s="375">
        <f t="shared" si="78"/>
        <v>1.6249999999999998</v>
      </c>
      <c r="E231" s="375">
        <f t="shared" si="78"/>
        <v>1.5250000000000004</v>
      </c>
      <c r="F231" s="375">
        <f t="shared" si="78"/>
        <v>1.3650000000000002</v>
      </c>
      <c r="G231" s="375">
        <f t="shared" si="78"/>
        <v>6.5</v>
      </c>
      <c r="H231" s="375">
        <f t="shared" si="78"/>
        <v>13.8</v>
      </c>
      <c r="I231" s="375">
        <f t="shared" si="78"/>
        <v>14.149999999999997</v>
      </c>
      <c r="J231" s="375">
        <f t="shared" si="78"/>
        <v>14.150000000000004</v>
      </c>
      <c r="K231" s="375">
        <f t="shared" si="78"/>
        <v>27.399999999999995</v>
      </c>
      <c r="L231" s="375">
        <f t="shared" si="78"/>
        <v>19.500000000000004</v>
      </c>
      <c r="M231" s="375">
        <f t="shared" si="78"/>
        <v>7.6500000000000066</v>
      </c>
      <c r="N231" s="375">
        <f t="shared" si="78"/>
        <v>4.699999999999994</v>
      </c>
      <c r="O231" s="375">
        <f t="shared" si="78"/>
        <v>1.5000000000000013</v>
      </c>
      <c r="P231" s="375">
        <f t="shared" si="78"/>
        <v>0.3749999999999995</v>
      </c>
      <c r="Q231" s="375">
        <f t="shared" si="78"/>
        <v>0</v>
      </c>
      <c r="R231" s="375">
        <f t="shared" si="78"/>
        <v>0</v>
      </c>
      <c r="S231" s="375">
        <f t="shared" si="78"/>
        <v>0</v>
      </c>
      <c r="T231" s="375">
        <f t="shared" si="78"/>
        <v>0</v>
      </c>
      <c r="U231" s="375">
        <f t="shared" si="78"/>
        <v>0</v>
      </c>
      <c r="V231" s="375">
        <f t="shared" si="78"/>
        <v>0</v>
      </c>
      <c r="W231" s="375">
        <f t="shared" si="78"/>
        <v>0</v>
      </c>
      <c r="X231" s="375">
        <f t="shared" si="78"/>
        <v>0</v>
      </c>
      <c r="Y231" s="369"/>
    </row>
    <row r="232" spans="1:26" ht="13.5" thickBot="1" x14ac:dyDescent="0.25">
      <c r="A232" s="6" t="s">
        <v>386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</row>
    <row r="233" spans="1:26" ht="13.5" thickBot="1" x14ac:dyDescent="0.25">
      <c r="A233" s="361" t="s">
        <v>387</v>
      </c>
      <c r="B233" s="359">
        <f>ROW(A233)</f>
        <v>233</v>
      </c>
      <c r="C233" s="363" t="s">
        <v>116</v>
      </c>
      <c r="D233" s="353">
        <f>SUM(B236:Y236)</f>
        <v>115.63</v>
      </c>
      <c r="E233" s="363" t="s">
        <v>115</v>
      </c>
      <c r="F233" s="354">
        <f>D233/g/J233</f>
        <v>125.39310733728064</v>
      </c>
      <c r="G233" s="363" t="s">
        <v>57</v>
      </c>
      <c r="H233" s="64">
        <v>0.2</v>
      </c>
      <c r="I233" s="363" t="s">
        <v>270</v>
      </c>
      <c r="J233" s="355">
        <f>H233-L233</f>
        <v>9.4000000000000014E-2</v>
      </c>
      <c r="K233" s="363" t="s">
        <v>271</v>
      </c>
      <c r="L233" s="64">
        <v>0.106</v>
      </c>
      <c r="M233" s="363" t="s">
        <v>58</v>
      </c>
      <c r="N233" s="65">
        <v>93</v>
      </c>
      <c r="O233" s="363" t="s">
        <v>60</v>
      </c>
      <c r="P233" s="65">
        <v>93</v>
      </c>
      <c r="Q233" s="363" t="s">
        <v>61</v>
      </c>
      <c r="R233" s="65">
        <v>187</v>
      </c>
      <c r="S233" s="363" t="s">
        <v>62</v>
      </c>
      <c r="T233" s="65">
        <v>29</v>
      </c>
      <c r="U233" s="363" t="s">
        <v>55</v>
      </c>
      <c r="V233" s="66" t="s">
        <v>120</v>
      </c>
      <c r="W233" s="463" t="s">
        <v>394</v>
      </c>
      <c r="X233" s="465">
        <v>0.96</v>
      </c>
      <c r="Y233" s="463" t="s">
        <v>393</v>
      </c>
      <c r="Z233" s="358">
        <v>14</v>
      </c>
    </row>
    <row r="234" spans="1:26" x14ac:dyDescent="0.2">
      <c r="A234" s="362" t="s">
        <v>33</v>
      </c>
      <c r="B234" s="370">
        <v>0</v>
      </c>
      <c r="C234" s="371">
        <v>0.01</v>
      </c>
      <c r="D234" s="371">
        <v>0.02</v>
      </c>
      <c r="E234" s="371">
        <v>0.03</v>
      </c>
      <c r="F234" s="371">
        <v>0.04</v>
      </c>
      <c r="G234" s="371">
        <v>0.05</v>
      </c>
      <c r="H234" s="371">
        <v>0.1</v>
      </c>
      <c r="I234" s="371">
        <v>0.2</v>
      </c>
      <c r="J234" s="371">
        <v>0.3</v>
      </c>
      <c r="K234" s="371">
        <v>0.4</v>
      </c>
      <c r="L234" s="371">
        <v>0.6</v>
      </c>
      <c r="M234" s="371">
        <v>0.75</v>
      </c>
      <c r="N234" s="371">
        <v>0.81</v>
      </c>
      <c r="O234" s="371">
        <v>0.86</v>
      </c>
      <c r="P234" s="371">
        <v>0.9</v>
      </c>
      <c r="Q234" s="371">
        <v>0.95</v>
      </c>
      <c r="R234" s="371">
        <v>1</v>
      </c>
      <c r="S234" s="371">
        <f t="shared" ref="S234:X235" si="79">R234</f>
        <v>1</v>
      </c>
      <c r="T234" s="371">
        <f t="shared" si="79"/>
        <v>1</v>
      </c>
      <c r="U234" s="371">
        <f t="shared" si="79"/>
        <v>1</v>
      </c>
      <c r="V234" s="371">
        <f t="shared" si="79"/>
        <v>1</v>
      </c>
      <c r="W234" s="371">
        <f t="shared" si="79"/>
        <v>1</v>
      </c>
      <c r="X234" s="371">
        <v>2</v>
      </c>
      <c r="Y234" s="381">
        <v>1000</v>
      </c>
    </row>
    <row r="235" spans="1:26" x14ac:dyDescent="0.2">
      <c r="A235" s="378" t="s">
        <v>34</v>
      </c>
      <c r="B235" s="372">
        <v>0</v>
      </c>
      <c r="C235" s="373">
        <v>55</v>
      </c>
      <c r="D235" s="373">
        <v>168</v>
      </c>
      <c r="E235" s="373">
        <v>157</v>
      </c>
      <c r="F235" s="373">
        <v>148</v>
      </c>
      <c r="G235" s="373">
        <v>125</v>
      </c>
      <c r="H235" s="373">
        <v>135</v>
      </c>
      <c r="I235" s="373">
        <v>141</v>
      </c>
      <c r="J235" s="373">
        <v>142</v>
      </c>
      <c r="K235" s="373">
        <v>141</v>
      </c>
      <c r="L235" s="373">
        <v>133</v>
      </c>
      <c r="M235" s="373">
        <v>127</v>
      </c>
      <c r="N235" s="373">
        <v>128</v>
      </c>
      <c r="O235" s="373">
        <v>60</v>
      </c>
      <c r="P235" s="373">
        <v>15</v>
      </c>
      <c r="Q235" s="373">
        <v>0</v>
      </c>
      <c r="R235" s="373">
        <v>0</v>
      </c>
      <c r="S235" s="373">
        <f t="shared" si="79"/>
        <v>0</v>
      </c>
      <c r="T235" s="373">
        <f t="shared" si="79"/>
        <v>0</v>
      </c>
      <c r="U235" s="373">
        <f t="shared" si="79"/>
        <v>0</v>
      </c>
      <c r="V235" s="373">
        <f t="shared" si="79"/>
        <v>0</v>
      </c>
      <c r="W235" s="373">
        <f t="shared" si="79"/>
        <v>0</v>
      </c>
      <c r="X235" s="373">
        <f t="shared" si="79"/>
        <v>0</v>
      </c>
      <c r="Y235" s="382">
        <v>0</v>
      </c>
    </row>
    <row r="236" spans="1:26" ht="13.5" thickBot="1" x14ac:dyDescent="0.25">
      <c r="A236" s="379" t="s">
        <v>117</v>
      </c>
      <c r="B236" s="374">
        <f t="shared" ref="B236:X236" si="80">(C235+B235)*(C234-B234)/2</f>
        <v>0.27500000000000002</v>
      </c>
      <c r="C236" s="375">
        <f t="shared" si="80"/>
        <v>1.115</v>
      </c>
      <c r="D236" s="375">
        <f t="shared" si="80"/>
        <v>1.6249999999999998</v>
      </c>
      <c r="E236" s="375">
        <f t="shared" si="80"/>
        <v>1.5250000000000004</v>
      </c>
      <c r="F236" s="375">
        <f t="shared" si="80"/>
        <v>1.3650000000000002</v>
      </c>
      <c r="G236" s="375">
        <f t="shared" si="80"/>
        <v>6.5</v>
      </c>
      <c r="H236" s="375">
        <f t="shared" si="80"/>
        <v>13.8</v>
      </c>
      <c r="I236" s="375">
        <f t="shared" si="80"/>
        <v>14.149999999999997</v>
      </c>
      <c r="J236" s="375">
        <f t="shared" si="80"/>
        <v>14.150000000000004</v>
      </c>
      <c r="K236" s="375">
        <f t="shared" si="80"/>
        <v>27.399999999999995</v>
      </c>
      <c r="L236" s="375">
        <f t="shared" si="80"/>
        <v>19.500000000000004</v>
      </c>
      <c r="M236" s="375">
        <f t="shared" si="80"/>
        <v>7.6500000000000066</v>
      </c>
      <c r="N236" s="375">
        <f t="shared" si="80"/>
        <v>4.699999999999994</v>
      </c>
      <c r="O236" s="375">
        <f t="shared" si="80"/>
        <v>1.5000000000000013</v>
      </c>
      <c r="P236" s="375">
        <f t="shared" si="80"/>
        <v>0.3749999999999995</v>
      </c>
      <c r="Q236" s="375">
        <f t="shared" si="80"/>
        <v>0</v>
      </c>
      <c r="R236" s="375">
        <f t="shared" si="80"/>
        <v>0</v>
      </c>
      <c r="S236" s="375">
        <f t="shared" si="80"/>
        <v>0</v>
      </c>
      <c r="T236" s="375">
        <f t="shared" si="80"/>
        <v>0</v>
      </c>
      <c r="U236" s="375">
        <f t="shared" si="80"/>
        <v>0</v>
      </c>
      <c r="V236" s="375">
        <f t="shared" si="80"/>
        <v>0</v>
      </c>
      <c r="W236" s="375">
        <f t="shared" si="80"/>
        <v>0</v>
      </c>
      <c r="X236" s="375">
        <f t="shared" si="80"/>
        <v>0</v>
      </c>
      <c r="Y236" s="369"/>
    </row>
    <row r="237" spans="1:26" ht="13.5" thickBot="1" x14ac:dyDescent="0.25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</row>
    <row r="238" spans="1:26" ht="13.5" thickBot="1" x14ac:dyDescent="0.25">
      <c r="A238" s="361" t="s">
        <v>392</v>
      </c>
      <c r="B238" s="359">
        <f>ROW(A238)</f>
        <v>238</v>
      </c>
      <c r="C238" s="363" t="s">
        <v>116</v>
      </c>
      <c r="D238" s="353">
        <f>SUM(B241:Y241)</f>
        <v>158.04815100000002</v>
      </c>
      <c r="E238" s="363" t="s">
        <v>115</v>
      </c>
      <c r="F238" s="354">
        <v>198</v>
      </c>
      <c r="G238" s="363" t="s">
        <v>57</v>
      </c>
      <c r="H238" s="64">
        <v>0.19450000000000001</v>
      </c>
      <c r="I238" s="363" t="s">
        <v>270</v>
      </c>
      <c r="J238" s="355">
        <f>H238-L238</f>
        <v>8.9600000000000013E-2</v>
      </c>
      <c r="K238" s="363" t="s">
        <v>271</v>
      </c>
      <c r="L238" s="64">
        <v>0.10489999999999999</v>
      </c>
      <c r="M238" s="363" t="s">
        <v>58</v>
      </c>
      <c r="N238" s="65">
        <v>93</v>
      </c>
      <c r="O238" s="363" t="s">
        <v>60</v>
      </c>
      <c r="P238" s="65">
        <v>93</v>
      </c>
      <c r="Q238" s="363" t="s">
        <v>61</v>
      </c>
      <c r="R238" s="65">
        <v>187</v>
      </c>
      <c r="S238" s="363" t="s">
        <v>62</v>
      </c>
      <c r="T238" s="65">
        <v>29</v>
      </c>
      <c r="U238" s="363" t="s">
        <v>55</v>
      </c>
      <c r="V238" s="66" t="s">
        <v>120</v>
      </c>
      <c r="W238" s="463" t="s">
        <v>394</v>
      </c>
      <c r="X238" s="465">
        <v>1.27</v>
      </c>
      <c r="Y238" s="463" t="s">
        <v>393</v>
      </c>
      <c r="Z238" s="358">
        <v>14</v>
      </c>
    </row>
    <row r="239" spans="1:26" x14ac:dyDescent="0.2">
      <c r="A239" s="362" t="s">
        <v>33</v>
      </c>
      <c r="B239" s="472">
        <v>0</v>
      </c>
      <c r="C239" s="472">
        <v>4.0000000000000001E-3</v>
      </c>
      <c r="D239" s="472">
        <v>2.1999999999999999E-2</v>
      </c>
      <c r="E239" s="472">
        <v>3.9E-2</v>
      </c>
      <c r="F239" s="472">
        <v>0.122</v>
      </c>
      <c r="G239" s="472">
        <v>0.23599999999999999</v>
      </c>
      <c r="H239" s="472">
        <v>0.58899999999999997</v>
      </c>
      <c r="I239" s="472">
        <v>0.80100000000000005</v>
      </c>
      <c r="J239" s="472">
        <v>1.0680000000000001</v>
      </c>
      <c r="K239" s="472">
        <v>1.1180000000000001</v>
      </c>
      <c r="L239" s="472">
        <v>1.145</v>
      </c>
      <c r="M239" s="472">
        <v>1.1739999999999999</v>
      </c>
      <c r="N239" s="472">
        <v>1.2110000000000001</v>
      </c>
      <c r="O239" s="472">
        <v>1.2470000000000001</v>
      </c>
      <c r="P239" s="472">
        <v>1.2989999999999999</v>
      </c>
      <c r="Q239" s="371">
        <v>2</v>
      </c>
      <c r="R239" s="371">
        <v>2</v>
      </c>
      <c r="S239" s="371">
        <f t="shared" ref="S239:X240" si="81">R239</f>
        <v>2</v>
      </c>
      <c r="T239" s="371">
        <f t="shared" si="81"/>
        <v>2</v>
      </c>
      <c r="U239" s="371">
        <f t="shared" si="81"/>
        <v>2</v>
      </c>
      <c r="V239" s="371">
        <f t="shared" si="81"/>
        <v>2</v>
      </c>
      <c r="W239" s="371">
        <f t="shared" si="81"/>
        <v>2</v>
      </c>
      <c r="X239" s="371">
        <f t="shared" si="81"/>
        <v>2</v>
      </c>
      <c r="Y239" s="381">
        <v>1000</v>
      </c>
    </row>
    <row r="240" spans="1:26" x14ac:dyDescent="0.2">
      <c r="A240" s="378" t="s">
        <v>34</v>
      </c>
      <c r="B240" s="472">
        <v>0</v>
      </c>
      <c r="C240" s="472">
        <v>15.683</v>
      </c>
      <c r="D240" s="472">
        <v>170.834</v>
      </c>
      <c r="E240" s="472">
        <v>116.877</v>
      </c>
      <c r="F240" s="472">
        <v>142.642</v>
      </c>
      <c r="G240" s="472">
        <v>149.73699999999999</v>
      </c>
      <c r="H240" s="472">
        <v>142.642</v>
      </c>
      <c r="I240" s="472">
        <v>131.25299999999999</v>
      </c>
      <c r="J240" s="472">
        <v>122.104</v>
      </c>
      <c r="K240" s="472">
        <v>107.91500000000001</v>
      </c>
      <c r="L240" s="472">
        <v>78.415999999999997</v>
      </c>
      <c r="M240" s="472">
        <v>43.128999999999998</v>
      </c>
      <c r="N240" s="472">
        <v>21.471</v>
      </c>
      <c r="O240" s="472">
        <v>8.7750000000000004</v>
      </c>
      <c r="P240" s="472">
        <v>0</v>
      </c>
      <c r="Q240" s="373">
        <v>0</v>
      </c>
      <c r="R240" s="373">
        <v>0</v>
      </c>
      <c r="S240" s="373">
        <f t="shared" si="81"/>
        <v>0</v>
      </c>
      <c r="T240" s="373">
        <f t="shared" si="81"/>
        <v>0</v>
      </c>
      <c r="U240" s="373">
        <f t="shared" si="81"/>
        <v>0</v>
      </c>
      <c r="V240" s="373">
        <f t="shared" si="81"/>
        <v>0</v>
      </c>
      <c r="W240" s="373">
        <f t="shared" si="81"/>
        <v>0</v>
      </c>
      <c r="X240" s="373">
        <f t="shared" si="81"/>
        <v>0</v>
      </c>
      <c r="Y240" s="382">
        <v>0</v>
      </c>
    </row>
    <row r="241" spans="1:26" ht="13.5" thickBot="1" x14ac:dyDescent="0.25">
      <c r="A241" s="379" t="s">
        <v>117</v>
      </c>
      <c r="B241" s="374">
        <f t="shared" ref="B241:X241" si="82">(C240+B240)*(C239-B239)/2</f>
        <v>3.1365999999999998E-2</v>
      </c>
      <c r="C241" s="375">
        <f t="shared" si="82"/>
        <v>1.6786529999999997</v>
      </c>
      <c r="D241" s="375">
        <f t="shared" si="82"/>
        <v>2.4455435000000003</v>
      </c>
      <c r="E241" s="375">
        <f t="shared" si="82"/>
        <v>10.770038499999998</v>
      </c>
      <c r="F241" s="375">
        <f t="shared" si="82"/>
        <v>16.665603000000001</v>
      </c>
      <c r="G241" s="375">
        <f t="shared" si="82"/>
        <v>51.604893500000003</v>
      </c>
      <c r="H241" s="375">
        <f t="shared" si="82"/>
        <v>29.03287000000001</v>
      </c>
      <c r="I241" s="375">
        <f t="shared" si="82"/>
        <v>33.823159499999996</v>
      </c>
      <c r="J241" s="375">
        <f t="shared" si="82"/>
        <v>5.7504750000000051</v>
      </c>
      <c r="K241" s="375">
        <f t="shared" si="82"/>
        <v>2.5154684999999923</v>
      </c>
      <c r="L241" s="375">
        <f t="shared" si="82"/>
        <v>1.7624024999999945</v>
      </c>
      <c r="M241" s="375">
        <f t="shared" si="82"/>
        <v>1.1951000000000045</v>
      </c>
      <c r="N241" s="375">
        <f t="shared" si="82"/>
        <v>0.54442800000000058</v>
      </c>
      <c r="O241" s="375">
        <f t="shared" si="82"/>
        <v>0.22814999999999924</v>
      </c>
      <c r="P241" s="375">
        <f t="shared" si="82"/>
        <v>0</v>
      </c>
      <c r="Q241" s="375">
        <f t="shared" si="82"/>
        <v>0</v>
      </c>
      <c r="R241" s="375">
        <f t="shared" si="82"/>
        <v>0</v>
      </c>
      <c r="S241" s="375">
        <f t="shared" si="82"/>
        <v>0</v>
      </c>
      <c r="T241" s="375">
        <f t="shared" si="82"/>
        <v>0</v>
      </c>
      <c r="U241" s="375">
        <f t="shared" si="82"/>
        <v>0</v>
      </c>
      <c r="V241" s="375">
        <f t="shared" si="82"/>
        <v>0</v>
      </c>
      <c r="W241" s="375">
        <f t="shared" si="82"/>
        <v>0</v>
      </c>
      <c r="X241" s="375">
        <f t="shared" si="82"/>
        <v>0</v>
      </c>
      <c r="Y241" s="369"/>
    </row>
    <row r="242" spans="1:26" ht="13.5" thickBot="1" x14ac:dyDescent="0.25">
      <c r="A242" s="6" t="s">
        <v>374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</row>
    <row r="243" spans="1:26" ht="13.5" thickBot="1" x14ac:dyDescent="0.25">
      <c r="A243" s="361" t="s">
        <v>379</v>
      </c>
      <c r="B243" s="359">
        <f>ROW(A243)</f>
        <v>243</v>
      </c>
      <c r="C243" s="363" t="s">
        <v>116</v>
      </c>
      <c r="D243" s="353">
        <f>SUM(B246:Y246)</f>
        <v>136.75235000000001</v>
      </c>
      <c r="E243" s="363" t="s">
        <v>115</v>
      </c>
      <c r="F243" s="354">
        <f>D243/g/J243</f>
        <v>152.35078513616639</v>
      </c>
      <c r="G243" s="363" t="s">
        <v>57</v>
      </c>
      <c r="H243" s="64">
        <v>0.21249999999999999</v>
      </c>
      <c r="I243" s="363" t="s">
        <v>270</v>
      </c>
      <c r="J243" s="355">
        <f>H243-L243</f>
        <v>9.1499999999999998E-2</v>
      </c>
      <c r="K243" s="363" t="s">
        <v>271</v>
      </c>
      <c r="L243" s="64">
        <v>0.121</v>
      </c>
      <c r="M243" s="363" t="s">
        <v>58</v>
      </c>
      <c r="N243" s="65">
        <v>63</v>
      </c>
      <c r="O243" s="363" t="s">
        <v>60</v>
      </c>
      <c r="P243" s="65">
        <v>114</v>
      </c>
      <c r="Q243" s="363" t="s">
        <v>61</v>
      </c>
      <c r="R243" s="65">
        <v>127</v>
      </c>
      <c r="S243" s="363" t="s">
        <v>62</v>
      </c>
      <c r="T243" s="65">
        <v>38</v>
      </c>
      <c r="U243" s="363" t="s">
        <v>55</v>
      </c>
      <c r="V243" s="66" t="s">
        <v>120</v>
      </c>
      <c r="W243" s="463" t="s">
        <v>394</v>
      </c>
      <c r="X243" s="465">
        <v>2.36</v>
      </c>
      <c r="Y243" s="463" t="s">
        <v>393</v>
      </c>
      <c r="Z243" s="358">
        <v>13</v>
      </c>
    </row>
    <row r="244" spans="1:26" x14ac:dyDescent="0.2">
      <c r="A244" s="362" t="s">
        <v>33</v>
      </c>
      <c r="B244" s="370">
        <v>0</v>
      </c>
      <c r="C244" s="371">
        <v>2.9000000000000001E-2</v>
      </c>
      <c r="D244" s="371">
        <v>4.5999999999999999E-2</v>
      </c>
      <c r="E244" s="371">
        <v>5.8000000000000003E-2</v>
      </c>
      <c r="F244" s="371">
        <v>8.4000000000000005E-2</v>
      </c>
      <c r="G244" s="371">
        <v>0.17100000000000001</v>
      </c>
      <c r="H244" s="371">
        <v>0.28000000000000003</v>
      </c>
      <c r="I244" s="371">
        <v>0.45500000000000002</v>
      </c>
      <c r="J244" s="371">
        <v>0.58599999999999997</v>
      </c>
      <c r="K244" s="371">
        <v>0.74099999999999999</v>
      </c>
      <c r="L244" s="371">
        <v>0.95199999999999996</v>
      </c>
      <c r="M244" s="371">
        <v>1.2170000000000001</v>
      </c>
      <c r="N244" s="371">
        <v>1.43</v>
      </c>
      <c r="O244" s="371">
        <v>1.6259999999999999</v>
      </c>
      <c r="P244" s="371">
        <v>1.8069999999999999</v>
      </c>
      <c r="Q244" s="371">
        <v>1.9590000000000001</v>
      </c>
      <c r="R244" s="371">
        <v>2.1040000000000001</v>
      </c>
      <c r="S244" s="371">
        <v>2.1680000000000001</v>
      </c>
      <c r="T244" s="371">
        <v>2.21</v>
      </c>
      <c r="U244" s="371">
        <v>2.2469999999999999</v>
      </c>
      <c r="V244" s="371">
        <v>2.3290000000000002</v>
      </c>
      <c r="W244" s="371">
        <f>2.4</f>
        <v>2.4</v>
      </c>
      <c r="X244" s="371">
        <f>W244</f>
        <v>2.4</v>
      </c>
      <c r="Y244" s="381">
        <v>1000</v>
      </c>
    </row>
    <row r="245" spans="1:26" x14ac:dyDescent="0.2">
      <c r="A245" s="378" t="s">
        <v>34</v>
      </c>
      <c r="B245" s="372">
        <v>0</v>
      </c>
      <c r="C245" s="373">
        <v>90.25</v>
      </c>
      <c r="D245" s="373">
        <v>69.17</v>
      </c>
      <c r="E245" s="373">
        <v>59.947000000000003</v>
      </c>
      <c r="F245" s="373">
        <v>47.167000000000002</v>
      </c>
      <c r="G245" s="373">
        <v>57.970999999999997</v>
      </c>
      <c r="H245" s="373">
        <v>59.552</v>
      </c>
      <c r="I245" s="373">
        <v>61.265000000000001</v>
      </c>
      <c r="J245" s="373">
        <v>61.66</v>
      </c>
      <c r="K245" s="373">
        <v>62.319000000000003</v>
      </c>
      <c r="L245" s="373">
        <v>63.768000000000001</v>
      </c>
      <c r="M245" s="373">
        <v>64.69</v>
      </c>
      <c r="N245" s="373">
        <v>63.768000000000001</v>
      </c>
      <c r="O245" s="373">
        <v>61.265000000000001</v>
      </c>
      <c r="P245" s="373">
        <v>58.103000000000002</v>
      </c>
      <c r="Q245" s="373">
        <v>53.887</v>
      </c>
      <c r="R245" s="373">
        <v>48.353000000000002</v>
      </c>
      <c r="S245" s="373">
        <v>47.563000000000002</v>
      </c>
      <c r="T245" s="373">
        <v>44.005000000000003</v>
      </c>
      <c r="U245" s="373">
        <v>37.286000000000001</v>
      </c>
      <c r="V245" s="373">
        <v>22.265999999999998</v>
      </c>
      <c r="W245" s="373">
        <v>0</v>
      </c>
      <c r="X245" s="373">
        <f>W245</f>
        <v>0</v>
      </c>
      <c r="Y245" s="382">
        <v>0</v>
      </c>
    </row>
    <row r="246" spans="1:26" ht="13.5" thickBot="1" x14ac:dyDescent="0.25">
      <c r="A246" s="379" t="s">
        <v>117</v>
      </c>
      <c r="B246" s="374">
        <f t="shared" ref="B246:X246" si="83">(C245+B245)*(C244-B244)/2</f>
        <v>1.3086250000000001</v>
      </c>
      <c r="C246" s="375">
        <f t="shared" si="83"/>
        <v>1.35507</v>
      </c>
      <c r="D246" s="375">
        <f t="shared" si="83"/>
        <v>0.77470200000000033</v>
      </c>
      <c r="E246" s="375">
        <f t="shared" si="83"/>
        <v>1.3924820000000002</v>
      </c>
      <c r="F246" s="375">
        <f t="shared" si="83"/>
        <v>4.5735030000000005</v>
      </c>
      <c r="G246" s="375">
        <f t="shared" si="83"/>
        <v>6.4050035000000003</v>
      </c>
      <c r="H246" s="375">
        <f t="shared" si="83"/>
        <v>10.5714875</v>
      </c>
      <c r="I246" s="375">
        <f t="shared" si="83"/>
        <v>8.0515874999999966</v>
      </c>
      <c r="J246" s="375">
        <f t="shared" si="83"/>
        <v>9.6083725000000015</v>
      </c>
      <c r="K246" s="375">
        <f t="shared" si="83"/>
        <v>13.302178499999998</v>
      </c>
      <c r="L246" s="375">
        <f t="shared" si="83"/>
        <v>17.020685000000007</v>
      </c>
      <c r="M246" s="375">
        <f t="shared" si="83"/>
        <v>13.68077699999999</v>
      </c>
      <c r="N246" s="375">
        <f t="shared" si="83"/>
        <v>12.253233999999997</v>
      </c>
      <c r="O246" s="375">
        <f t="shared" si="83"/>
        <v>10.802804000000002</v>
      </c>
      <c r="P246" s="375">
        <f t="shared" si="83"/>
        <v>8.5112400000000079</v>
      </c>
      <c r="Q246" s="375">
        <f t="shared" si="83"/>
        <v>7.4124000000000017</v>
      </c>
      <c r="R246" s="375">
        <f t="shared" si="83"/>
        <v>3.0693120000000027</v>
      </c>
      <c r="S246" s="375">
        <f t="shared" si="83"/>
        <v>1.9229279999999918</v>
      </c>
      <c r="T246" s="375">
        <f t="shared" si="83"/>
        <v>1.5038834999999968</v>
      </c>
      <c r="U246" s="375">
        <f t="shared" si="83"/>
        <v>2.4416320000000087</v>
      </c>
      <c r="V246" s="375">
        <f t="shared" si="83"/>
        <v>0.7904429999999969</v>
      </c>
      <c r="W246" s="375">
        <f t="shared" si="83"/>
        <v>0</v>
      </c>
      <c r="X246" s="375">
        <f t="shared" si="83"/>
        <v>0</v>
      </c>
      <c r="Y246" s="369"/>
    </row>
    <row r="247" spans="1:26" ht="13.5" thickBot="1" x14ac:dyDescent="0.25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</row>
    <row r="248" spans="1:26" ht="13.5" thickBot="1" x14ac:dyDescent="0.25">
      <c r="A248" s="361" t="s">
        <v>380</v>
      </c>
      <c r="B248" s="359">
        <f>ROW(A248)</f>
        <v>248</v>
      </c>
      <c r="C248" s="363" t="s">
        <v>116</v>
      </c>
      <c r="D248" s="353">
        <f>SUM(B251:Y251)</f>
        <v>127.06944999999999</v>
      </c>
      <c r="E248" s="363" t="s">
        <v>115</v>
      </c>
      <c r="F248" s="354">
        <f>D248/g/J248</f>
        <v>180.65624835614466</v>
      </c>
      <c r="G248" s="363" t="s">
        <v>57</v>
      </c>
      <c r="H248" s="64">
        <v>0.18840000000000001</v>
      </c>
      <c r="I248" s="363" t="s">
        <v>270</v>
      </c>
      <c r="J248" s="355">
        <f>H248-L248</f>
        <v>7.1700000000000014E-2</v>
      </c>
      <c r="K248" s="363" t="s">
        <v>271</v>
      </c>
      <c r="L248" s="64">
        <v>0.1167</v>
      </c>
      <c r="M248" s="363" t="s">
        <v>58</v>
      </c>
      <c r="N248" s="65">
        <v>63</v>
      </c>
      <c r="O248" s="363" t="s">
        <v>60</v>
      </c>
      <c r="P248" s="65">
        <v>114</v>
      </c>
      <c r="Q248" s="363" t="s">
        <v>61</v>
      </c>
      <c r="R248" s="65">
        <v>127</v>
      </c>
      <c r="S248" s="363" t="s">
        <v>62</v>
      </c>
      <c r="T248" s="65">
        <v>38</v>
      </c>
      <c r="U248" s="363" t="s">
        <v>55</v>
      </c>
      <c r="V248" s="66" t="s">
        <v>120</v>
      </c>
      <c r="W248" s="463" t="s">
        <v>394</v>
      </c>
      <c r="X248" s="465">
        <v>0.69</v>
      </c>
      <c r="Y248" s="463" t="s">
        <v>393</v>
      </c>
      <c r="Z248" s="358">
        <v>12</v>
      </c>
    </row>
    <row r="249" spans="1:26" x14ac:dyDescent="0.2">
      <c r="A249" s="362" t="s">
        <v>33</v>
      </c>
      <c r="B249" s="370">
        <v>0</v>
      </c>
      <c r="C249" s="371">
        <v>0.01</v>
      </c>
      <c r="D249" s="371">
        <v>0.02</v>
      </c>
      <c r="E249" s="371">
        <v>0.05</v>
      </c>
      <c r="F249" s="371">
        <v>0.1</v>
      </c>
      <c r="G249" s="371">
        <v>0.2</v>
      </c>
      <c r="H249" s="371">
        <v>0.3</v>
      </c>
      <c r="I249" s="371">
        <v>0.35</v>
      </c>
      <c r="J249" s="371">
        <v>0.4</v>
      </c>
      <c r="K249" s="371">
        <v>0.45</v>
      </c>
      <c r="L249" s="371">
        <v>0.5</v>
      </c>
      <c r="M249" s="371">
        <v>0.55000000000000004</v>
      </c>
      <c r="N249" s="371">
        <v>0.6</v>
      </c>
      <c r="O249" s="371">
        <v>0.61</v>
      </c>
      <c r="P249" s="371">
        <v>0.63</v>
      </c>
      <c r="Q249" s="371">
        <v>0.64</v>
      </c>
      <c r="R249" s="371">
        <v>0.65</v>
      </c>
      <c r="S249" s="371">
        <v>0.67</v>
      </c>
      <c r="T249" s="371">
        <v>0.68</v>
      </c>
      <c r="U249" s="371">
        <v>0.69</v>
      </c>
      <c r="V249" s="371">
        <f t="shared" ref="V249:X250" si="84">U249</f>
        <v>0.69</v>
      </c>
      <c r="W249" s="371">
        <f t="shared" si="84"/>
        <v>0.69</v>
      </c>
      <c r="X249" s="371">
        <v>2</v>
      </c>
      <c r="Y249" s="381">
        <v>1000</v>
      </c>
    </row>
    <row r="250" spans="1:26" x14ac:dyDescent="0.2">
      <c r="A250" s="378" t="s">
        <v>34</v>
      </c>
      <c r="B250" s="372">
        <v>0</v>
      </c>
      <c r="C250" s="373">
        <v>108.72</v>
      </c>
      <c r="D250" s="373">
        <v>131.19</v>
      </c>
      <c r="E250" s="373">
        <v>153.13999999999999</v>
      </c>
      <c r="F250" s="373">
        <v>168.97</v>
      </c>
      <c r="G250" s="373">
        <v>189.92</v>
      </c>
      <c r="H250" s="373">
        <v>199.95</v>
      </c>
      <c r="I250" s="373">
        <v>203.59</v>
      </c>
      <c r="J250" s="373">
        <v>205.03</v>
      </c>
      <c r="K250" s="373">
        <v>202.6</v>
      </c>
      <c r="L250" s="373">
        <v>203.06</v>
      </c>
      <c r="M250" s="373">
        <v>199.34</v>
      </c>
      <c r="N250" s="373">
        <v>194.71</v>
      </c>
      <c r="O250" s="373">
        <v>194.1</v>
      </c>
      <c r="P250" s="373">
        <v>193.49</v>
      </c>
      <c r="Q250" s="373">
        <v>193.68</v>
      </c>
      <c r="R250" s="373">
        <v>202.91</v>
      </c>
      <c r="S250" s="373">
        <v>163.38999999999999</v>
      </c>
      <c r="T250" s="373">
        <v>80.44</v>
      </c>
      <c r="U250" s="373">
        <v>0</v>
      </c>
      <c r="V250" s="373">
        <f t="shared" si="84"/>
        <v>0</v>
      </c>
      <c r="W250" s="373">
        <f t="shared" si="84"/>
        <v>0</v>
      </c>
      <c r="X250" s="373">
        <f t="shared" si="84"/>
        <v>0</v>
      </c>
      <c r="Y250" s="382">
        <v>0</v>
      </c>
    </row>
    <row r="251" spans="1:26" ht="13.5" thickBot="1" x14ac:dyDescent="0.25">
      <c r="A251" s="379" t="s">
        <v>117</v>
      </c>
      <c r="B251" s="374">
        <f t="shared" ref="B251:X251" si="85">(C250+B250)*(C249-B249)/2</f>
        <v>0.54359999999999997</v>
      </c>
      <c r="C251" s="375">
        <f t="shared" si="85"/>
        <v>1.1995500000000001</v>
      </c>
      <c r="D251" s="375">
        <f t="shared" si="85"/>
        <v>4.2649499999999998</v>
      </c>
      <c r="E251" s="375">
        <f t="shared" si="85"/>
        <v>8.0527500000000014</v>
      </c>
      <c r="F251" s="375">
        <f t="shared" si="85"/>
        <v>17.944500000000001</v>
      </c>
      <c r="G251" s="375">
        <f t="shared" si="85"/>
        <v>19.493499999999997</v>
      </c>
      <c r="H251" s="375">
        <f t="shared" si="85"/>
        <v>10.088499999999996</v>
      </c>
      <c r="I251" s="375">
        <f t="shared" si="85"/>
        <v>10.215500000000009</v>
      </c>
      <c r="J251" s="375">
        <f t="shared" si="85"/>
        <v>10.190749999999998</v>
      </c>
      <c r="K251" s="375">
        <f t="shared" si="85"/>
        <v>10.141499999999997</v>
      </c>
      <c r="L251" s="375">
        <f t="shared" si="85"/>
        <v>10.060000000000008</v>
      </c>
      <c r="M251" s="375">
        <f t="shared" si="85"/>
        <v>9.8512499999999878</v>
      </c>
      <c r="N251" s="375">
        <f t="shared" si="85"/>
        <v>1.9440500000000018</v>
      </c>
      <c r="O251" s="375">
        <f t="shared" si="85"/>
        <v>3.8759000000000037</v>
      </c>
      <c r="P251" s="375">
        <f t="shared" si="85"/>
        <v>1.9358500000000018</v>
      </c>
      <c r="Q251" s="375">
        <f t="shared" si="85"/>
        <v>1.982950000000002</v>
      </c>
      <c r="R251" s="375">
        <f t="shared" si="85"/>
        <v>3.6630000000000029</v>
      </c>
      <c r="S251" s="375">
        <f t="shared" si="85"/>
        <v>1.2191500000000011</v>
      </c>
      <c r="T251" s="375">
        <f t="shared" si="85"/>
        <v>0.40219999999999589</v>
      </c>
      <c r="U251" s="375">
        <f t="shared" si="85"/>
        <v>0</v>
      </c>
      <c r="V251" s="375">
        <f t="shared" si="85"/>
        <v>0</v>
      </c>
      <c r="W251" s="375">
        <f t="shared" si="85"/>
        <v>0</v>
      </c>
      <c r="X251" s="375">
        <f t="shared" si="85"/>
        <v>0</v>
      </c>
      <c r="Y251" s="369"/>
    </row>
    <row r="252" spans="1:26" ht="13.5" thickBot="1" x14ac:dyDescent="0.25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</row>
    <row r="253" spans="1:26" ht="13.5" thickBot="1" x14ac:dyDescent="0.25">
      <c r="A253" s="361" t="s">
        <v>388</v>
      </c>
      <c r="B253" s="359">
        <f>ROW(A253)</f>
        <v>253</v>
      </c>
      <c r="C253" s="363" t="s">
        <v>116</v>
      </c>
      <c r="D253" s="353">
        <f>SUM(B256:Y256)</f>
        <v>142.7236025</v>
      </c>
      <c r="E253" s="363" t="s">
        <v>115</v>
      </c>
      <c r="F253" s="354">
        <v>208</v>
      </c>
      <c r="G253" s="363" t="s">
        <v>57</v>
      </c>
      <c r="H253" s="64">
        <v>0.19700000000000001</v>
      </c>
      <c r="I253" s="363" t="s">
        <v>270</v>
      </c>
      <c r="J253" s="355">
        <f>H253-L253</f>
        <v>7.0000000000000007E-2</v>
      </c>
      <c r="K253" s="363" t="s">
        <v>271</v>
      </c>
      <c r="L253" s="64">
        <v>0.127</v>
      </c>
      <c r="M253" s="363" t="s">
        <v>58</v>
      </c>
      <c r="N253" s="65">
        <v>63</v>
      </c>
      <c r="O253" s="363" t="s">
        <v>60</v>
      </c>
      <c r="P253" s="65">
        <v>114</v>
      </c>
      <c r="Q253" s="363" t="s">
        <v>61</v>
      </c>
      <c r="R253" s="65">
        <v>127</v>
      </c>
      <c r="S253" s="363" t="s">
        <v>62</v>
      </c>
      <c r="T253" s="65">
        <v>38</v>
      </c>
      <c r="U253" s="363" t="s">
        <v>55</v>
      </c>
      <c r="V253" s="66" t="s">
        <v>120</v>
      </c>
      <c r="W253" s="463" t="s">
        <v>394</v>
      </c>
      <c r="X253" s="465">
        <v>1.8</v>
      </c>
      <c r="Y253" s="463" t="s">
        <v>393</v>
      </c>
      <c r="Z253" s="358">
        <v>15</v>
      </c>
    </row>
    <row r="254" spans="1:26" x14ac:dyDescent="0.2">
      <c r="A254" s="362" t="s">
        <v>33</v>
      </c>
      <c r="B254" s="370">
        <v>0</v>
      </c>
      <c r="C254" s="370">
        <v>6.0000000000000001E-3</v>
      </c>
      <c r="D254" s="371">
        <v>1.7999999999999999E-2</v>
      </c>
      <c r="E254" s="371">
        <v>3.5999999999999997E-2</v>
      </c>
      <c r="F254" s="371">
        <v>4.7E-2</v>
      </c>
      <c r="G254" s="371">
        <v>8.4000000000000005E-2</v>
      </c>
      <c r="H254" s="371">
        <v>0.13500000000000001</v>
      </c>
      <c r="I254" s="371">
        <v>0.23799999999999999</v>
      </c>
      <c r="J254" s="371">
        <v>0.438</v>
      </c>
      <c r="K254" s="371">
        <v>0.63</v>
      </c>
      <c r="L254" s="371">
        <v>0.85899999999999999</v>
      </c>
      <c r="M254" s="371">
        <v>1.2829999999999999</v>
      </c>
      <c r="N254" s="371">
        <v>1.4470000000000001</v>
      </c>
      <c r="O254" s="371">
        <v>1.643</v>
      </c>
      <c r="P254" s="371">
        <v>1.7130000000000001</v>
      </c>
      <c r="Q254" s="371">
        <v>1.7430000000000001</v>
      </c>
      <c r="R254" s="371">
        <v>1.79</v>
      </c>
      <c r="S254" s="371">
        <v>1.8180000000000001</v>
      </c>
      <c r="T254" s="371">
        <v>1.8520000000000001</v>
      </c>
      <c r="U254" s="371">
        <v>2</v>
      </c>
      <c r="V254" s="371">
        <f t="shared" ref="V254:X255" si="86">U254</f>
        <v>2</v>
      </c>
      <c r="W254" s="371">
        <f t="shared" si="86"/>
        <v>2</v>
      </c>
      <c r="X254" s="371">
        <f t="shared" si="86"/>
        <v>2</v>
      </c>
      <c r="Y254" s="381">
        <v>1000</v>
      </c>
    </row>
    <row r="255" spans="1:26" x14ac:dyDescent="0.2">
      <c r="A255" s="378" t="s">
        <v>34</v>
      </c>
      <c r="B255" s="372">
        <v>0</v>
      </c>
      <c r="C255" s="372">
        <v>104.068</v>
      </c>
      <c r="D255" s="373">
        <v>137.928</v>
      </c>
      <c r="E255" s="373">
        <v>70.706999999999994</v>
      </c>
      <c r="F255" s="373">
        <v>62.241999999999997</v>
      </c>
      <c r="G255" s="373">
        <v>73.694000000000003</v>
      </c>
      <c r="H255" s="373">
        <v>78.176000000000002</v>
      </c>
      <c r="I255" s="373">
        <v>84.150999999999996</v>
      </c>
      <c r="J255" s="373">
        <v>89.628</v>
      </c>
      <c r="K255" s="373">
        <v>88.135000000000005</v>
      </c>
      <c r="L255" s="373">
        <v>87.138999999999996</v>
      </c>
      <c r="M255" s="373">
        <v>77.180000000000007</v>
      </c>
      <c r="N255" s="373">
        <v>70.706999999999994</v>
      </c>
      <c r="O255" s="373">
        <v>67.718999999999994</v>
      </c>
      <c r="P255" s="373">
        <v>64.233999999999995</v>
      </c>
      <c r="Q255" s="373">
        <v>54.274999999999999</v>
      </c>
      <c r="R255" s="373">
        <v>18.423999999999999</v>
      </c>
      <c r="S255" s="373">
        <v>6.4729999999999999</v>
      </c>
      <c r="T255" s="373">
        <v>0</v>
      </c>
      <c r="U255" s="373">
        <v>0</v>
      </c>
      <c r="V255" s="373">
        <f t="shared" si="86"/>
        <v>0</v>
      </c>
      <c r="W255" s="373">
        <f t="shared" si="86"/>
        <v>0</v>
      </c>
      <c r="X255" s="373">
        <f t="shared" si="86"/>
        <v>0</v>
      </c>
      <c r="Y255" s="382">
        <v>0</v>
      </c>
    </row>
    <row r="256" spans="1:26" ht="13.5" thickBot="1" x14ac:dyDescent="0.25">
      <c r="A256" s="379" t="s">
        <v>117</v>
      </c>
      <c r="B256" s="374">
        <f t="shared" ref="B256:X256" si="87">(C255+B255)*(C254-B254)/2</f>
        <v>0.31220399999999998</v>
      </c>
      <c r="C256" s="375">
        <f t="shared" si="87"/>
        <v>1.4519759999999997</v>
      </c>
      <c r="D256" s="375">
        <f t="shared" si="87"/>
        <v>1.8777149999999998</v>
      </c>
      <c r="E256" s="375">
        <f t="shared" si="87"/>
        <v>0.73121950000000013</v>
      </c>
      <c r="F256" s="375">
        <f t="shared" si="87"/>
        <v>2.5148160000000006</v>
      </c>
      <c r="G256" s="375">
        <f t="shared" si="87"/>
        <v>3.8726850000000006</v>
      </c>
      <c r="H256" s="375">
        <f t="shared" si="87"/>
        <v>8.3598404999999989</v>
      </c>
      <c r="I256" s="375">
        <f t="shared" si="87"/>
        <v>17.3779</v>
      </c>
      <c r="J256" s="375">
        <f t="shared" si="87"/>
        <v>17.065248</v>
      </c>
      <c r="K256" s="375">
        <f t="shared" si="87"/>
        <v>20.068873</v>
      </c>
      <c r="L256" s="375">
        <f t="shared" si="87"/>
        <v>34.835628</v>
      </c>
      <c r="M256" s="375">
        <f t="shared" si="87"/>
        <v>12.126734000000011</v>
      </c>
      <c r="N256" s="375">
        <f t="shared" si="87"/>
        <v>13.565747999999996</v>
      </c>
      <c r="O256" s="375">
        <f t="shared" si="87"/>
        <v>4.6183550000000029</v>
      </c>
      <c r="P256" s="375">
        <f t="shared" si="87"/>
        <v>1.7776350000000014</v>
      </c>
      <c r="Q256" s="375">
        <f t="shared" si="87"/>
        <v>1.7084264999999974</v>
      </c>
      <c r="R256" s="375">
        <f t="shared" si="87"/>
        <v>0.34855800000000031</v>
      </c>
      <c r="S256" s="375">
        <f t="shared" si="87"/>
        <v>0.1100410000000001</v>
      </c>
      <c r="T256" s="375">
        <f t="shared" si="87"/>
        <v>0</v>
      </c>
      <c r="U256" s="375">
        <f t="shared" si="87"/>
        <v>0</v>
      </c>
      <c r="V256" s="375">
        <f t="shared" si="87"/>
        <v>0</v>
      </c>
      <c r="W256" s="375">
        <f t="shared" si="87"/>
        <v>0</v>
      </c>
      <c r="X256" s="375">
        <f t="shared" si="87"/>
        <v>0</v>
      </c>
      <c r="Y256" s="369"/>
    </row>
    <row r="257" spans="1:25" ht="13.5" thickBot="1" x14ac:dyDescent="0.25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</row>
    <row r="258" spans="1:25" ht="13.5" thickBot="1" x14ac:dyDescent="0.25">
      <c r="A258" s="361" t="s">
        <v>273</v>
      </c>
      <c r="B258" s="360">
        <f>ROW(A258)</f>
        <v>258</v>
      </c>
      <c r="C258" s="363" t="s">
        <v>116</v>
      </c>
      <c r="D258" s="353">
        <f>SUM(B261:Y261)</f>
        <v>33.500000000000007</v>
      </c>
      <c r="E258" s="363" t="s">
        <v>115</v>
      </c>
      <c r="F258" s="354">
        <f>D258/g/J258</f>
        <v>68.297655453618759</v>
      </c>
      <c r="G258" s="363" t="s">
        <v>57</v>
      </c>
      <c r="H258" s="64">
        <v>8.5000000000000006E-2</v>
      </c>
      <c r="I258" s="363" t="s">
        <v>270</v>
      </c>
      <c r="J258" s="355">
        <f>H258-L258</f>
        <v>0.05</v>
      </c>
      <c r="K258" s="363" t="s">
        <v>271</v>
      </c>
      <c r="L258" s="64">
        <v>3.5000000000000003E-2</v>
      </c>
      <c r="M258" s="363" t="s">
        <v>58</v>
      </c>
      <c r="N258" s="65">
        <v>20</v>
      </c>
      <c r="O258" s="363" t="s">
        <v>60</v>
      </c>
      <c r="P258" s="65">
        <v>20</v>
      </c>
      <c r="Q258" s="363" t="s">
        <v>61</v>
      </c>
      <c r="R258" s="65">
        <v>39</v>
      </c>
      <c r="S258" s="363" t="s">
        <v>62</v>
      </c>
      <c r="T258" s="65">
        <v>39</v>
      </c>
      <c r="U258" s="363" t="s">
        <v>55</v>
      </c>
      <c r="V258" s="66" t="s">
        <v>401</v>
      </c>
      <c r="W258" s="12"/>
      <c r="X258" s="12"/>
      <c r="Y258" s="12"/>
    </row>
    <row r="259" spans="1:25" x14ac:dyDescent="0.2">
      <c r="A259" s="362" t="s">
        <v>33</v>
      </c>
      <c r="B259" s="370">
        <v>0</v>
      </c>
      <c r="C259" s="371">
        <v>0.05</v>
      </c>
      <c r="D259" s="371">
        <v>0.1</v>
      </c>
      <c r="E259" s="371">
        <v>0.25</v>
      </c>
      <c r="F259" s="371">
        <v>0.3</v>
      </c>
      <c r="G259" s="371">
        <v>0.35</v>
      </c>
      <c r="H259" s="371">
        <v>0.45</v>
      </c>
      <c r="I259" s="371">
        <v>0.55000000000000004</v>
      </c>
      <c r="J259" s="371">
        <v>3.5</v>
      </c>
      <c r="K259" s="371">
        <v>3.6</v>
      </c>
      <c r="L259" s="371">
        <v>3.6</v>
      </c>
      <c r="M259" s="371">
        <v>3.6</v>
      </c>
      <c r="N259" s="371">
        <v>3.6</v>
      </c>
      <c r="O259" s="371">
        <v>3.6</v>
      </c>
      <c r="P259" s="371">
        <v>3.6</v>
      </c>
      <c r="Q259" s="371">
        <v>3.6</v>
      </c>
      <c r="R259" s="371">
        <v>3.6</v>
      </c>
      <c r="S259" s="371">
        <v>3.6</v>
      </c>
      <c r="T259" s="371">
        <v>3.6</v>
      </c>
      <c r="U259" s="371">
        <v>3.6</v>
      </c>
      <c r="V259" s="371">
        <v>3.6</v>
      </c>
      <c r="W259" s="371">
        <v>3.6</v>
      </c>
      <c r="X259" s="371">
        <v>3.6</v>
      </c>
      <c r="Y259" s="381">
        <v>1000</v>
      </c>
    </row>
    <row r="260" spans="1:25" x14ac:dyDescent="0.2">
      <c r="A260" s="378" t="s">
        <v>34</v>
      </c>
      <c r="B260" s="372">
        <v>0</v>
      </c>
      <c r="C260" s="373">
        <v>68</v>
      </c>
      <c r="D260" s="373">
        <v>62</v>
      </c>
      <c r="E260" s="373">
        <v>60</v>
      </c>
      <c r="F260" s="373">
        <v>39</v>
      </c>
      <c r="G260" s="373">
        <v>38</v>
      </c>
      <c r="H260" s="373">
        <v>9</v>
      </c>
      <c r="I260" s="373">
        <v>5</v>
      </c>
      <c r="J260" s="373">
        <v>3</v>
      </c>
      <c r="K260" s="373">
        <v>0</v>
      </c>
      <c r="L260" s="373">
        <v>0</v>
      </c>
      <c r="M260" s="373">
        <v>0</v>
      </c>
      <c r="N260" s="373">
        <v>0</v>
      </c>
      <c r="O260" s="373">
        <v>0</v>
      </c>
      <c r="P260" s="373">
        <v>0</v>
      </c>
      <c r="Q260" s="373">
        <v>0</v>
      </c>
      <c r="R260" s="373">
        <v>0</v>
      </c>
      <c r="S260" s="373">
        <v>0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  <c r="Y260" s="382">
        <v>0</v>
      </c>
    </row>
    <row r="261" spans="1:25" ht="13.5" thickBot="1" x14ac:dyDescent="0.25">
      <c r="A261" s="379" t="s">
        <v>117</v>
      </c>
      <c r="B261" s="374">
        <f t="shared" ref="B261:V261" si="88">(C260+B260)*(C259-B259)/2</f>
        <v>1.7000000000000002</v>
      </c>
      <c r="C261" s="375">
        <f t="shared" si="88"/>
        <v>3.25</v>
      </c>
      <c r="D261" s="375">
        <f t="shared" si="88"/>
        <v>9.15</v>
      </c>
      <c r="E261" s="375">
        <f t="shared" si="88"/>
        <v>2.4749999999999996</v>
      </c>
      <c r="F261" s="375">
        <f t="shared" si="88"/>
        <v>1.9249999999999996</v>
      </c>
      <c r="G261" s="375">
        <f t="shared" si="88"/>
        <v>2.350000000000001</v>
      </c>
      <c r="H261" s="375">
        <f t="shared" si="88"/>
        <v>0.70000000000000018</v>
      </c>
      <c r="I261" s="375">
        <f t="shared" si="88"/>
        <v>11.8</v>
      </c>
      <c r="J261" s="375">
        <f t="shared" si="88"/>
        <v>0.15000000000000013</v>
      </c>
      <c r="K261" s="375">
        <f t="shared" si="88"/>
        <v>0</v>
      </c>
      <c r="L261" s="375">
        <f t="shared" si="88"/>
        <v>0</v>
      </c>
      <c r="M261" s="375">
        <f t="shared" si="88"/>
        <v>0</v>
      </c>
      <c r="N261" s="375">
        <f t="shared" si="88"/>
        <v>0</v>
      </c>
      <c r="O261" s="375">
        <f t="shared" si="88"/>
        <v>0</v>
      </c>
      <c r="P261" s="375">
        <f t="shared" si="88"/>
        <v>0</v>
      </c>
      <c r="Q261" s="375">
        <f t="shared" si="88"/>
        <v>0</v>
      </c>
      <c r="R261" s="375">
        <f t="shared" si="88"/>
        <v>0</v>
      </c>
      <c r="S261" s="375">
        <f t="shared" si="88"/>
        <v>0</v>
      </c>
      <c r="T261" s="375">
        <f t="shared" si="88"/>
        <v>0</v>
      </c>
      <c r="U261" s="375">
        <f t="shared" si="88"/>
        <v>0</v>
      </c>
      <c r="V261" s="375">
        <f t="shared" si="88"/>
        <v>0</v>
      </c>
      <c r="W261" s="375">
        <f>(X260+W260)*(X259-W259)/2</f>
        <v>0</v>
      </c>
      <c r="X261" s="375">
        <f>(Y260+X260)*(Y259-X259)/2</f>
        <v>0</v>
      </c>
      <c r="Y261" s="369"/>
    </row>
    <row r="262" spans="1:25" ht="13.5" thickBot="1" x14ac:dyDescent="0.25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</row>
    <row r="263" spans="1:25" ht="13.5" thickBot="1" x14ac:dyDescent="0.25">
      <c r="A263" s="361" t="s">
        <v>274</v>
      </c>
      <c r="B263" s="359">
        <f>ROW(A263)</f>
        <v>263</v>
      </c>
      <c r="C263" s="363" t="s">
        <v>116</v>
      </c>
      <c r="D263" s="353">
        <f>SUM(B266:Y266)</f>
        <v>145.46</v>
      </c>
      <c r="E263" s="363" t="s">
        <v>115</v>
      </c>
      <c r="F263" s="354">
        <f>D263/g/J263</f>
        <v>211.82466870540264</v>
      </c>
      <c r="G263" s="363" t="s">
        <v>57</v>
      </c>
      <c r="H263" s="64">
        <v>0.22</v>
      </c>
      <c r="I263" s="363" t="s">
        <v>270</v>
      </c>
      <c r="J263" s="355">
        <f>H263-L263</f>
        <v>7.0000000000000007E-2</v>
      </c>
      <c r="K263" s="363" t="s">
        <v>271</v>
      </c>
      <c r="L263" s="64">
        <v>0.15</v>
      </c>
      <c r="M263" s="363" t="s">
        <v>58</v>
      </c>
      <c r="N263" s="65">
        <v>50</v>
      </c>
      <c r="O263" s="363" t="s">
        <v>60</v>
      </c>
      <c r="P263" s="65">
        <v>55</v>
      </c>
      <c r="Q263" s="363" t="s">
        <v>61</v>
      </c>
      <c r="R263" s="65">
        <v>76</v>
      </c>
      <c r="S263" s="363" t="s">
        <v>62</v>
      </c>
      <c r="T263" s="65">
        <v>40</v>
      </c>
      <c r="U263" s="363" t="s">
        <v>55</v>
      </c>
      <c r="V263" s="66" t="s">
        <v>401</v>
      </c>
      <c r="W263" s="12"/>
      <c r="X263" s="12"/>
      <c r="Y263" s="12"/>
    </row>
    <row r="264" spans="1:25" x14ac:dyDescent="0.2">
      <c r="A264" s="362" t="s">
        <v>33</v>
      </c>
      <c r="B264" s="370">
        <v>0</v>
      </c>
      <c r="C264" s="371">
        <v>0.02</v>
      </c>
      <c r="D264" s="371">
        <v>0.04</v>
      </c>
      <c r="E264" s="371">
        <v>0.05</v>
      </c>
      <c r="F264" s="371">
        <v>0.06</v>
      </c>
      <c r="G264" s="371">
        <v>0.94</v>
      </c>
      <c r="H264" s="377">
        <v>0.94200000000000006</v>
      </c>
      <c r="I264" s="371">
        <v>0.95</v>
      </c>
      <c r="J264" s="371">
        <v>0.95</v>
      </c>
      <c r="K264" s="371">
        <v>0.95</v>
      </c>
      <c r="L264" s="371">
        <v>0.95</v>
      </c>
      <c r="M264" s="371">
        <v>0.95</v>
      </c>
      <c r="N264" s="371">
        <v>0.95</v>
      </c>
      <c r="O264" s="371">
        <v>0.95</v>
      </c>
      <c r="P264" s="371">
        <v>0.95</v>
      </c>
      <c r="Q264" s="371">
        <v>0.95</v>
      </c>
      <c r="R264" s="371">
        <v>0.95</v>
      </c>
      <c r="S264" s="371">
        <v>0.95</v>
      </c>
      <c r="T264" s="371">
        <v>0.95</v>
      </c>
      <c r="U264" s="371">
        <v>0.95</v>
      </c>
      <c r="V264" s="371">
        <v>0.95</v>
      </c>
      <c r="W264" s="371">
        <v>0.95</v>
      </c>
      <c r="X264" s="371">
        <v>2</v>
      </c>
      <c r="Y264" s="381">
        <v>1000</v>
      </c>
    </row>
    <row r="265" spans="1:25" x14ac:dyDescent="0.2">
      <c r="A265" s="378" t="s">
        <v>34</v>
      </c>
      <c r="B265" s="372">
        <v>0</v>
      </c>
      <c r="C265" s="373">
        <v>320</v>
      </c>
      <c r="D265" s="373">
        <v>170</v>
      </c>
      <c r="E265" s="373">
        <v>205</v>
      </c>
      <c r="F265" s="373">
        <v>217</v>
      </c>
      <c r="G265" s="373">
        <v>85</v>
      </c>
      <c r="H265" s="373">
        <v>82</v>
      </c>
      <c r="I265" s="373">
        <v>0</v>
      </c>
      <c r="J265" s="373">
        <v>0</v>
      </c>
      <c r="K265" s="373">
        <v>0</v>
      </c>
      <c r="L265" s="373">
        <v>0</v>
      </c>
      <c r="M265" s="373">
        <v>0</v>
      </c>
      <c r="N265" s="373">
        <v>0</v>
      </c>
      <c r="O265" s="373">
        <v>0</v>
      </c>
      <c r="P265" s="373">
        <v>0</v>
      </c>
      <c r="Q265" s="373">
        <v>0</v>
      </c>
      <c r="R265" s="373">
        <v>0</v>
      </c>
      <c r="S265" s="373">
        <v>0</v>
      </c>
      <c r="T265" s="373">
        <v>0</v>
      </c>
      <c r="U265" s="373">
        <v>0</v>
      </c>
      <c r="V265" s="373">
        <v>0</v>
      </c>
      <c r="W265" s="373">
        <v>0</v>
      </c>
      <c r="X265" s="373">
        <v>0</v>
      </c>
      <c r="Y265" s="382">
        <v>0</v>
      </c>
    </row>
    <row r="266" spans="1:25" ht="13.5" thickBot="1" x14ac:dyDescent="0.25">
      <c r="A266" s="379" t="s">
        <v>117</v>
      </c>
      <c r="B266" s="374">
        <f t="shared" ref="B266:H266" si="89">(C265+B265)*(C264-B264)/2</f>
        <v>3.2</v>
      </c>
      <c r="C266" s="375">
        <f t="shared" si="89"/>
        <v>4.9000000000000004</v>
      </c>
      <c r="D266" s="375">
        <f t="shared" si="89"/>
        <v>1.8750000000000004</v>
      </c>
      <c r="E266" s="375">
        <f t="shared" si="89"/>
        <v>2.109999999999999</v>
      </c>
      <c r="F266" s="375">
        <f t="shared" si="89"/>
        <v>132.88</v>
      </c>
      <c r="G266" s="375">
        <f t="shared" si="89"/>
        <v>0.16700000000000942</v>
      </c>
      <c r="H266" s="375">
        <f t="shared" si="89"/>
        <v>0.32799999999999574</v>
      </c>
      <c r="I266" s="375">
        <f t="shared" ref="I266:V266" si="90">(J265+I265)*(J264-I264)/2</f>
        <v>0</v>
      </c>
      <c r="J266" s="375">
        <f>(K265+J265)*(K264-J264)/2</f>
        <v>0</v>
      </c>
      <c r="K266" s="375">
        <f t="shared" si="90"/>
        <v>0</v>
      </c>
      <c r="L266" s="375">
        <f t="shared" si="90"/>
        <v>0</v>
      </c>
      <c r="M266" s="375">
        <f t="shared" si="90"/>
        <v>0</v>
      </c>
      <c r="N266" s="375">
        <f t="shared" si="90"/>
        <v>0</v>
      </c>
      <c r="O266" s="375">
        <f t="shared" si="90"/>
        <v>0</v>
      </c>
      <c r="P266" s="375">
        <f t="shared" si="90"/>
        <v>0</v>
      </c>
      <c r="Q266" s="375">
        <f t="shared" si="90"/>
        <v>0</v>
      </c>
      <c r="R266" s="375">
        <f t="shared" si="90"/>
        <v>0</v>
      </c>
      <c r="S266" s="375">
        <f>(T265+S265)*(T264-S264)/2</f>
        <v>0</v>
      </c>
      <c r="T266" s="375">
        <f t="shared" si="90"/>
        <v>0</v>
      </c>
      <c r="U266" s="375">
        <f t="shared" si="90"/>
        <v>0</v>
      </c>
      <c r="V266" s="375">
        <f t="shared" si="90"/>
        <v>0</v>
      </c>
      <c r="W266" s="375">
        <f>(X265+W265)*(X264-W264)/2</f>
        <v>0</v>
      </c>
      <c r="X266" s="375">
        <f>(Y265+X265)*(Y264-X264)/2</f>
        <v>0</v>
      </c>
      <c r="Y266" s="369"/>
    </row>
    <row r="267" spans="1:25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</row>
    <row r="268" spans="1:25" ht="13.5" thickBot="1" x14ac:dyDescent="0.25">
      <c r="A268" s="6" t="s">
        <v>312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</row>
    <row r="269" spans="1:25" ht="13.5" thickBot="1" x14ac:dyDescent="0.25">
      <c r="A269" s="361" t="s">
        <v>35</v>
      </c>
      <c r="B269" s="359">
        <f>ROW(A269)</f>
        <v>269</v>
      </c>
      <c r="C269" s="363" t="s">
        <v>116</v>
      </c>
      <c r="D269" s="353">
        <f>SUM(B272:Y272)</f>
        <v>1071.5999999999999</v>
      </c>
      <c r="E269" s="363" t="s">
        <v>115</v>
      </c>
      <c r="F269" s="354">
        <f>D269/g/J269</f>
        <v>163.03802090465106</v>
      </c>
      <c r="G269" s="363" t="s">
        <v>57</v>
      </c>
      <c r="H269" s="64">
        <v>2.02</v>
      </c>
      <c r="I269" s="363" t="s">
        <v>270</v>
      </c>
      <c r="J269" s="355">
        <f>H269-L269</f>
        <v>0.66999999999999993</v>
      </c>
      <c r="K269" s="363" t="s">
        <v>271</v>
      </c>
      <c r="L269" s="64">
        <v>1.35</v>
      </c>
      <c r="M269" s="363" t="s">
        <v>58</v>
      </c>
      <c r="N269" s="65">
        <v>154</v>
      </c>
      <c r="O269" s="363" t="s">
        <v>60</v>
      </c>
      <c r="P269" s="65">
        <v>168</v>
      </c>
      <c r="Q269" s="363" t="s">
        <v>61</v>
      </c>
      <c r="R269" s="65">
        <v>230</v>
      </c>
      <c r="S269" s="363" t="s">
        <v>62</v>
      </c>
      <c r="T269" s="65">
        <v>67</v>
      </c>
      <c r="U269" s="363" t="s">
        <v>55</v>
      </c>
      <c r="V269" s="66" t="s">
        <v>119</v>
      </c>
      <c r="W269" s="12"/>
      <c r="X269" s="12"/>
      <c r="Y269" s="12"/>
    </row>
    <row r="270" spans="1:25" x14ac:dyDescent="0.2">
      <c r="A270" s="362" t="s">
        <v>33</v>
      </c>
      <c r="B270" s="370">
        <v>0</v>
      </c>
      <c r="C270" s="371">
        <v>0.02</v>
      </c>
      <c r="D270" s="371">
        <v>0.05</v>
      </c>
      <c r="E270" s="371">
        <v>0.06</v>
      </c>
      <c r="F270" s="371">
        <v>0.09</v>
      </c>
      <c r="G270" s="371">
        <v>0.17</v>
      </c>
      <c r="H270" s="371">
        <v>0.2</v>
      </c>
      <c r="I270" s="371">
        <v>0.38</v>
      </c>
      <c r="J270" s="371">
        <v>0.75</v>
      </c>
      <c r="K270" s="371">
        <v>0.79</v>
      </c>
      <c r="L270" s="371">
        <v>1.1299999999999999</v>
      </c>
      <c r="M270" s="371">
        <v>1.2</v>
      </c>
      <c r="N270" s="371">
        <v>1.5</v>
      </c>
      <c r="O270" s="371">
        <v>1.54</v>
      </c>
      <c r="P270" s="371">
        <v>1.65</v>
      </c>
      <c r="Q270" s="371">
        <v>1.7</v>
      </c>
      <c r="R270" s="371">
        <v>1.79</v>
      </c>
      <c r="S270" s="371">
        <v>1.79</v>
      </c>
      <c r="T270" s="371">
        <v>1.79</v>
      </c>
      <c r="U270" s="371">
        <v>1.79</v>
      </c>
      <c r="V270" s="371">
        <v>1.79</v>
      </c>
      <c r="W270" s="371">
        <v>1.79</v>
      </c>
      <c r="X270" s="371">
        <v>1.79</v>
      </c>
      <c r="Y270" s="381">
        <v>1000</v>
      </c>
    </row>
    <row r="271" spans="1:25" x14ac:dyDescent="0.2">
      <c r="A271" s="378" t="s">
        <v>34</v>
      </c>
      <c r="B271" s="372">
        <v>0</v>
      </c>
      <c r="C271" s="373">
        <v>20</v>
      </c>
      <c r="D271" s="373">
        <v>870</v>
      </c>
      <c r="E271" s="373">
        <v>530</v>
      </c>
      <c r="F271" s="373">
        <v>790</v>
      </c>
      <c r="G271" s="373">
        <v>700</v>
      </c>
      <c r="H271" s="373">
        <v>710</v>
      </c>
      <c r="I271" s="373">
        <v>670</v>
      </c>
      <c r="J271" s="373">
        <v>630</v>
      </c>
      <c r="K271" s="373">
        <v>630</v>
      </c>
      <c r="L271" s="373">
        <v>710</v>
      </c>
      <c r="M271" s="373">
        <v>690</v>
      </c>
      <c r="N271" s="373">
        <v>690</v>
      </c>
      <c r="O271" s="373">
        <v>660</v>
      </c>
      <c r="P271" s="373">
        <v>160</v>
      </c>
      <c r="Q271" s="373">
        <v>10</v>
      </c>
      <c r="R271" s="373">
        <v>0</v>
      </c>
      <c r="S271" s="373">
        <v>0</v>
      </c>
      <c r="T271" s="373">
        <v>0</v>
      </c>
      <c r="U271" s="373">
        <v>0</v>
      </c>
      <c r="V271" s="373">
        <v>0</v>
      </c>
      <c r="W271" s="373">
        <v>0</v>
      </c>
      <c r="X271" s="373">
        <v>0</v>
      </c>
      <c r="Y271" s="382">
        <v>0</v>
      </c>
    </row>
    <row r="272" spans="1:25" ht="13.5" thickBot="1" x14ac:dyDescent="0.25">
      <c r="A272" s="379" t="s">
        <v>117</v>
      </c>
      <c r="B272" s="374">
        <f t="shared" ref="B272:Q272" si="91">(C271+B271)*(C270-B270)/2</f>
        <v>0.2</v>
      </c>
      <c r="C272" s="375">
        <f t="shared" si="91"/>
        <v>13.350000000000001</v>
      </c>
      <c r="D272" s="375">
        <f t="shared" si="91"/>
        <v>6.9999999999999964</v>
      </c>
      <c r="E272" s="375">
        <f t="shared" si="91"/>
        <v>19.8</v>
      </c>
      <c r="F272" s="375">
        <f t="shared" si="91"/>
        <v>59.600000000000009</v>
      </c>
      <c r="G272" s="375">
        <f t="shared" si="91"/>
        <v>21.15</v>
      </c>
      <c r="H272" s="375">
        <f t="shared" si="91"/>
        <v>124.19999999999999</v>
      </c>
      <c r="I272" s="375">
        <f t="shared" si="91"/>
        <v>240.5</v>
      </c>
      <c r="J272" s="375">
        <f>(K271+J271)*(K270-J270)/2</f>
        <v>25.200000000000024</v>
      </c>
      <c r="K272" s="375">
        <f t="shared" si="91"/>
        <v>227.7999999999999</v>
      </c>
      <c r="L272" s="375">
        <f t="shared" si="91"/>
        <v>49.000000000000043</v>
      </c>
      <c r="M272" s="375">
        <f t="shared" si="91"/>
        <v>207.00000000000003</v>
      </c>
      <c r="N272" s="375">
        <f t="shared" si="91"/>
        <v>27.000000000000025</v>
      </c>
      <c r="O272" s="375">
        <f t="shared" si="91"/>
        <v>45.099999999999952</v>
      </c>
      <c r="P272" s="375">
        <f t="shared" si="91"/>
        <v>4.2500000000000036</v>
      </c>
      <c r="Q272" s="375">
        <f t="shared" si="91"/>
        <v>0.4500000000000004</v>
      </c>
      <c r="R272" s="375">
        <f t="shared" ref="R272:X272" si="92">(S271+R271)*(S270-R270)/2</f>
        <v>0</v>
      </c>
      <c r="S272" s="375">
        <f t="shared" si="92"/>
        <v>0</v>
      </c>
      <c r="T272" s="375">
        <f t="shared" si="92"/>
        <v>0</v>
      </c>
      <c r="U272" s="375">
        <f t="shared" si="92"/>
        <v>0</v>
      </c>
      <c r="V272" s="375">
        <f t="shared" si="92"/>
        <v>0</v>
      </c>
      <c r="W272" s="375">
        <f t="shared" si="92"/>
        <v>0</v>
      </c>
      <c r="X272" s="375">
        <f t="shared" si="92"/>
        <v>0</v>
      </c>
      <c r="Y272" s="383"/>
    </row>
    <row r="273" spans="1:25" ht="13.5" thickBot="1" x14ac:dyDescent="0.25">
      <c r="S273" s="12"/>
      <c r="T273" s="12"/>
      <c r="U273" s="12"/>
      <c r="V273" s="12"/>
      <c r="W273" s="12"/>
      <c r="X273" s="12"/>
      <c r="Y273" s="12"/>
    </row>
    <row r="274" spans="1:25" ht="13.5" thickBot="1" x14ac:dyDescent="0.25">
      <c r="A274" s="361" t="s">
        <v>36</v>
      </c>
      <c r="B274" s="359">
        <f>ROW(A274)</f>
        <v>274</v>
      </c>
      <c r="C274" s="363" t="s">
        <v>116</v>
      </c>
      <c r="D274" s="353">
        <f>SUM(B277:Y277)</f>
        <v>2102.35</v>
      </c>
      <c r="E274" s="363" t="s">
        <v>115</v>
      </c>
      <c r="F274" s="354">
        <f>D274/g/J274</f>
        <v>174.23319493133766</v>
      </c>
      <c r="G274" s="363" t="s">
        <v>57</v>
      </c>
      <c r="H274" s="64">
        <v>3.7</v>
      </c>
      <c r="I274" s="363" t="s">
        <v>270</v>
      </c>
      <c r="J274" s="355">
        <f>H274-L274</f>
        <v>1.23</v>
      </c>
      <c r="K274" s="363" t="s">
        <v>271</v>
      </c>
      <c r="L274" s="64">
        <v>2.4700000000000002</v>
      </c>
      <c r="M274" s="363" t="s">
        <v>58</v>
      </c>
      <c r="N274" s="65">
        <v>151</v>
      </c>
      <c r="O274" s="363" t="s">
        <v>60</v>
      </c>
      <c r="P274" s="65">
        <v>171</v>
      </c>
      <c r="Q274" s="363" t="s">
        <v>61</v>
      </c>
      <c r="R274" s="65">
        <v>247</v>
      </c>
      <c r="S274" s="363" t="s">
        <v>62</v>
      </c>
      <c r="T274" s="65">
        <v>90</v>
      </c>
      <c r="U274" s="363" t="s">
        <v>55</v>
      </c>
      <c r="V274" s="66" t="s">
        <v>119</v>
      </c>
      <c r="W274" s="12"/>
      <c r="X274" s="12"/>
      <c r="Y274" s="12"/>
    </row>
    <row r="275" spans="1:25" x14ac:dyDescent="0.2">
      <c r="A275" s="362" t="s">
        <v>33</v>
      </c>
      <c r="B275" s="370">
        <v>0</v>
      </c>
      <c r="C275" s="371">
        <v>0.05</v>
      </c>
      <c r="D275" s="371">
        <v>0.1</v>
      </c>
      <c r="E275" s="371">
        <v>1</v>
      </c>
      <c r="F275" s="371">
        <v>1.35</v>
      </c>
      <c r="G275" s="371">
        <v>1.75</v>
      </c>
      <c r="H275" s="371">
        <v>2.15</v>
      </c>
      <c r="I275" s="371">
        <v>2.25</v>
      </c>
      <c r="J275" s="371">
        <v>2.48</v>
      </c>
      <c r="K275" s="371">
        <v>2.6</v>
      </c>
      <c r="L275" s="371">
        <v>2.8</v>
      </c>
      <c r="M275" s="371">
        <v>2.8</v>
      </c>
      <c r="N275" s="371">
        <v>2.8</v>
      </c>
      <c r="O275" s="371">
        <v>2.8</v>
      </c>
      <c r="P275" s="371">
        <v>2.8</v>
      </c>
      <c r="Q275" s="371">
        <v>2.8</v>
      </c>
      <c r="R275" s="371">
        <v>2.8</v>
      </c>
      <c r="S275" s="371">
        <v>2.8</v>
      </c>
      <c r="T275" s="371">
        <v>2.8</v>
      </c>
      <c r="U275" s="371">
        <v>2.8</v>
      </c>
      <c r="V275" s="371">
        <v>2.8</v>
      </c>
      <c r="W275" s="371">
        <v>2.8</v>
      </c>
      <c r="X275" s="371">
        <v>2.8</v>
      </c>
      <c r="Y275" s="381">
        <v>1000</v>
      </c>
    </row>
    <row r="276" spans="1:25" x14ac:dyDescent="0.2">
      <c r="A276" s="378" t="s">
        <v>34</v>
      </c>
      <c r="B276" s="372">
        <v>0</v>
      </c>
      <c r="C276" s="373">
        <v>860</v>
      </c>
      <c r="D276" s="373">
        <v>840</v>
      </c>
      <c r="E276" s="373">
        <v>840</v>
      </c>
      <c r="F276" s="373">
        <v>850</v>
      </c>
      <c r="G276" s="373">
        <v>900</v>
      </c>
      <c r="H276" s="373">
        <v>1050</v>
      </c>
      <c r="I276" s="373">
        <v>1020</v>
      </c>
      <c r="J276" s="373">
        <v>120</v>
      </c>
      <c r="K276" s="373">
        <v>30</v>
      </c>
      <c r="L276" s="373">
        <v>0</v>
      </c>
      <c r="M276" s="373">
        <v>0</v>
      </c>
      <c r="N276" s="373">
        <v>0</v>
      </c>
      <c r="O276" s="373">
        <v>0</v>
      </c>
      <c r="P276" s="373">
        <v>0</v>
      </c>
      <c r="Q276" s="373">
        <v>0</v>
      </c>
      <c r="R276" s="373">
        <v>0</v>
      </c>
      <c r="S276" s="373">
        <v>0</v>
      </c>
      <c r="T276" s="373">
        <v>0</v>
      </c>
      <c r="U276" s="373">
        <v>0</v>
      </c>
      <c r="V276" s="373">
        <v>0</v>
      </c>
      <c r="W276" s="373">
        <v>0</v>
      </c>
      <c r="X276" s="373">
        <v>0</v>
      </c>
      <c r="Y276" s="382">
        <v>0</v>
      </c>
    </row>
    <row r="277" spans="1:25" ht="13.5" thickBot="1" x14ac:dyDescent="0.25">
      <c r="A277" s="379" t="s">
        <v>117</v>
      </c>
      <c r="B277" s="374">
        <f t="shared" ref="B277:K277" si="93">(C276+B276)*(C275-B275)/2</f>
        <v>21.5</v>
      </c>
      <c r="C277" s="375">
        <f t="shared" si="93"/>
        <v>42.5</v>
      </c>
      <c r="D277" s="375">
        <f t="shared" si="93"/>
        <v>756</v>
      </c>
      <c r="E277" s="375">
        <f t="shared" si="93"/>
        <v>295.75000000000006</v>
      </c>
      <c r="F277" s="375">
        <f t="shared" si="93"/>
        <v>349.99999999999994</v>
      </c>
      <c r="G277" s="375">
        <f t="shared" si="93"/>
        <v>389.99999999999989</v>
      </c>
      <c r="H277" s="375">
        <f t="shared" si="93"/>
        <v>103.50000000000009</v>
      </c>
      <c r="I277" s="375">
        <f t="shared" si="93"/>
        <v>131.1</v>
      </c>
      <c r="J277" s="375">
        <f>(K276+J276)*(K275-J275)/2</f>
        <v>9.0000000000000071</v>
      </c>
      <c r="K277" s="375">
        <f t="shared" si="93"/>
        <v>2.999999999999996</v>
      </c>
      <c r="L277" s="375">
        <f t="shared" ref="L277:V277" si="94">(M276+L276)*(M275-L275)/2</f>
        <v>0</v>
      </c>
      <c r="M277" s="375">
        <f t="shared" si="94"/>
        <v>0</v>
      </c>
      <c r="N277" s="375">
        <f t="shared" si="94"/>
        <v>0</v>
      </c>
      <c r="O277" s="375">
        <f t="shared" si="94"/>
        <v>0</v>
      </c>
      <c r="P277" s="375">
        <f t="shared" si="94"/>
        <v>0</v>
      </c>
      <c r="Q277" s="375">
        <f t="shared" si="94"/>
        <v>0</v>
      </c>
      <c r="R277" s="375">
        <f t="shared" si="94"/>
        <v>0</v>
      </c>
      <c r="S277" s="375">
        <f>(T276+S276)*(T275-S275)/2</f>
        <v>0</v>
      </c>
      <c r="T277" s="375">
        <f t="shared" si="94"/>
        <v>0</v>
      </c>
      <c r="U277" s="375">
        <f t="shared" si="94"/>
        <v>0</v>
      </c>
      <c r="V277" s="375">
        <f t="shared" si="94"/>
        <v>0</v>
      </c>
      <c r="W277" s="375">
        <f>(X276+W276)*(X275-W275)/2</f>
        <v>0</v>
      </c>
      <c r="X277" s="375">
        <f>(Y276+X276)*(Y275-X275)/2</f>
        <v>0</v>
      </c>
      <c r="Y277" s="369"/>
    </row>
    <row r="278" spans="1:25" ht="13.5" thickBot="1" x14ac:dyDescent="0.25"/>
    <row r="279" spans="1:25" ht="13.5" thickBot="1" x14ac:dyDescent="0.25">
      <c r="A279" s="361" t="s">
        <v>550</v>
      </c>
      <c r="B279" s="359">
        <f>ROW(A279)</f>
        <v>279</v>
      </c>
      <c r="C279" s="363" t="s">
        <v>116</v>
      </c>
      <c r="D279" s="353">
        <f>SUM(B282:Y282)</f>
        <v>2058.37</v>
      </c>
      <c r="E279" s="363" t="s">
        <v>115</v>
      </c>
      <c r="F279" s="354">
        <f>D279/g/J279</f>
        <v>203.12066731598335</v>
      </c>
      <c r="G279" s="363" t="s">
        <v>57</v>
      </c>
      <c r="H279" s="64">
        <v>1.6850000000000001</v>
      </c>
      <c r="I279" s="363" t="s">
        <v>270</v>
      </c>
      <c r="J279" s="355">
        <f>H279-L279</f>
        <v>1.0329999999999999</v>
      </c>
      <c r="K279" s="363" t="s">
        <v>271</v>
      </c>
      <c r="L279" s="64">
        <v>0.65200000000000002</v>
      </c>
      <c r="M279" s="363" t="s">
        <v>58</v>
      </c>
      <c r="N279" s="65">
        <v>250</v>
      </c>
      <c r="O279" s="363" t="s">
        <v>60</v>
      </c>
      <c r="P279" s="65">
        <v>240</v>
      </c>
      <c r="Q279" s="363" t="s">
        <v>61</v>
      </c>
      <c r="R279" s="65">
        <v>488</v>
      </c>
      <c r="S279" s="363" t="s">
        <v>62</v>
      </c>
      <c r="T279" s="65">
        <v>54</v>
      </c>
      <c r="U279" s="363" t="s">
        <v>55</v>
      </c>
      <c r="V279" s="66" t="s">
        <v>119</v>
      </c>
      <c r="W279" s="12"/>
      <c r="X279" s="12"/>
      <c r="Y279" s="12"/>
    </row>
    <row r="280" spans="1:25" x14ac:dyDescent="0.2">
      <c r="A280" s="362" t="s">
        <v>33</v>
      </c>
      <c r="B280" s="370">
        <v>0</v>
      </c>
      <c r="C280" s="371">
        <v>0.05</v>
      </c>
      <c r="D280" s="371">
        <v>0.5</v>
      </c>
      <c r="E280" s="371">
        <v>1</v>
      </c>
      <c r="F280" s="371">
        <v>1.5</v>
      </c>
      <c r="G280" s="371">
        <v>2</v>
      </c>
      <c r="H280" s="371">
        <v>2.5</v>
      </c>
      <c r="I280" s="371">
        <v>2.97</v>
      </c>
      <c r="J280" s="371">
        <v>3.2</v>
      </c>
      <c r="K280" s="371">
        <v>3.47</v>
      </c>
      <c r="L280" s="371">
        <v>3.59</v>
      </c>
      <c r="M280" s="371">
        <v>3.59</v>
      </c>
      <c r="N280" s="371">
        <v>3.59</v>
      </c>
      <c r="O280" s="371">
        <v>3.59</v>
      </c>
      <c r="P280" s="371">
        <v>3.59</v>
      </c>
      <c r="Q280" s="371">
        <v>3.59</v>
      </c>
      <c r="R280" s="371">
        <v>3.59</v>
      </c>
      <c r="S280" s="371">
        <v>3.59</v>
      </c>
      <c r="T280" s="371">
        <v>3.59</v>
      </c>
      <c r="U280" s="371">
        <v>3.59</v>
      </c>
      <c r="V280" s="371">
        <v>3.59</v>
      </c>
      <c r="W280" s="371">
        <v>3.59</v>
      </c>
      <c r="X280" s="371">
        <v>3.59</v>
      </c>
      <c r="Y280" s="381">
        <v>1000</v>
      </c>
    </row>
    <row r="281" spans="1:25" x14ac:dyDescent="0.2">
      <c r="A281" s="378" t="s">
        <v>34</v>
      </c>
      <c r="B281" s="372">
        <v>0</v>
      </c>
      <c r="C281" s="373">
        <v>893</v>
      </c>
      <c r="D281" s="373">
        <v>798</v>
      </c>
      <c r="E281" s="373">
        <v>739</v>
      </c>
      <c r="F281" s="373">
        <v>659</v>
      </c>
      <c r="G281" s="373">
        <v>586</v>
      </c>
      <c r="H281" s="373">
        <v>513</v>
      </c>
      <c r="I281" s="373">
        <v>417</v>
      </c>
      <c r="J281" s="373">
        <v>225</v>
      </c>
      <c r="K281" s="373">
        <v>67</v>
      </c>
      <c r="L281" s="373">
        <v>0</v>
      </c>
      <c r="M281" s="373">
        <v>0</v>
      </c>
      <c r="N281" s="373">
        <v>0</v>
      </c>
      <c r="O281" s="373">
        <v>0</v>
      </c>
      <c r="P281" s="373">
        <v>0</v>
      </c>
      <c r="Q281" s="373">
        <v>0</v>
      </c>
      <c r="R281" s="373">
        <v>0</v>
      </c>
      <c r="S281" s="373">
        <v>0</v>
      </c>
      <c r="T281" s="373">
        <v>0</v>
      </c>
      <c r="U281" s="373">
        <v>0</v>
      </c>
      <c r="V281" s="373">
        <v>0</v>
      </c>
      <c r="W281" s="373">
        <v>0</v>
      </c>
      <c r="X281" s="373">
        <v>0</v>
      </c>
      <c r="Y281" s="382">
        <v>0</v>
      </c>
    </row>
    <row r="282" spans="1:25" ht="13.5" thickBot="1" x14ac:dyDescent="0.25">
      <c r="A282" s="380" t="s">
        <v>117</v>
      </c>
      <c r="B282" s="374">
        <f t="shared" ref="B282:V282" si="95">(C281+B281)*(C280-B280)/2</f>
        <v>22.325000000000003</v>
      </c>
      <c r="C282" s="375">
        <f t="shared" si="95"/>
        <v>380.47500000000002</v>
      </c>
      <c r="D282" s="375">
        <f t="shared" si="95"/>
        <v>384.25</v>
      </c>
      <c r="E282" s="375">
        <f t="shared" si="95"/>
        <v>349.5</v>
      </c>
      <c r="F282" s="375">
        <f t="shared" si="95"/>
        <v>311.25</v>
      </c>
      <c r="G282" s="375">
        <f t="shared" si="95"/>
        <v>274.75</v>
      </c>
      <c r="H282" s="375">
        <f t="shared" si="95"/>
        <v>218.5500000000001</v>
      </c>
      <c r="I282" s="375">
        <f t="shared" si="95"/>
        <v>73.83</v>
      </c>
      <c r="J282" s="375">
        <f>(K281+J281)*(K280-J280)/2</f>
        <v>39.42</v>
      </c>
      <c r="K282" s="375">
        <f t="shared" si="95"/>
        <v>4.0199999999999889</v>
      </c>
      <c r="L282" s="375">
        <f t="shared" si="95"/>
        <v>0</v>
      </c>
      <c r="M282" s="375">
        <f t="shared" si="95"/>
        <v>0</v>
      </c>
      <c r="N282" s="375">
        <f t="shared" si="95"/>
        <v>0</v>
      </c>
      <c r="O282" s="375">
        <f t="shared" si="95"/>
        <v>0</v>
      </c>
      <c r="P282" s="375">
        <f t="shared" si="95"/>
        <v>0</v>
      </c>
      <c r="Q282" s="375">
        <f t="shared" si="95"/>
        <v>0</v>
      </c>
      <c r="R282" s="375">
        <f t="shared" si="95"/>
        <v>0</v>
      </c>
      <c r="S282" s="375">
        <f>(T281+S281)*(T280-S280)/2</f>
        <v>0</v>
      </c>
      <c r="T282" s="375">
        <f t="shared" si="95"/>
        <v>0</v>
      </c>
      <c r="U282" s="375">
        <f t="shared" si="95"/>
        <v>0</v>
      </c>
      <c r="V282" s="375">
        <f t="shared" si="95"/>
        <v>0</v>
      </c>
      <c r="W282" s="375">
        <f>(X281+W281)*(X280-W280)/2</f>
        <v>0</v>
      </c>
      <c r="X282" s="375">
        <f>(Y281+X281)*(Y280-X280)/2</f>
        <v>0</v>
      </c>
      <c r="Y282" s="369"/>
    </row>
    <row r="283" spans="1:25" ht="13.5" thickBot="1" x14ac:dyDescent="0.25"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</row>
    <row r="284" spans="1:25" ht="13.5" thickBot="1" x14ac:dyDescent="0.25">
      <c r="A284" s="361" t="s">
        <v>37</v>
      </c>
      <c r="B284" s="359">
        <f>ROW(A284)</f>
        <v>284</v>
      </c>
      <c r="C284" s="363" t="s">
        <v>116</v>
      </c>
      <c r="D284" s="353">
        <f>SUM(B287:Y287)</f>
        <v>2486.041999999999</v>
      </c>
      <c r="E284" s="363" t="s">
        <v>115</v>
      </c>
      <c r="F284" s="354">
        <f>D284/g/J284</f>
        <v>199.54264891200521</v>
      </c>
      <c r="G284" s="363" t="s">
        <v>57</v>
      </c>
      <c r="H284" s="64">
        <v>2.59</v>
      </c>
      <c r="I284" s="363" t="s">
        <v>270</v>
      </c>
      <c r="J284" s="355">
        <f>H284-L284</f>
        <v>1.2699999999999998</v>
      </c>
      <c r="K284" s="363" t="s">
        <v>271</v>
      </c>
      <c r="L284" s="64">
        <v>1.32</v>
      </c>
      <c r="M284" s="363" t="s">
        <v>58</v>
      </c>
      <c r="N284" s="65">
        <v>175</v>
      </c>
      <c r="O284" s="363" t="s">
        <v>60</v>
      </c>
      <c r="P284" s="65">
        <v>175</v>
      </c>
      <c r="Q284" s="363" t="s">
        <v>61</v>
      </c>
      <c r="R284" s="65">
        <v>350</v>
      </c>
      <c r="S284" s="363" t="s">
        <v>62</v>
      </c>
      <c r="T284" s="65">
        <v>75</v>
      </c>
      <c r="U284" s="363" t="s">
        <v>55</v>
      </c>
      <c r="V284" s="66" t="s">
        <v>119</v>
      </c>
      <c r="W284" s="12"/>
      <c r="X284" s="12"/>
      <c r="Y284" s="12"/>
    </row>
    <row r="285" spans="1:25" x14ac:dyDescent="0.2">
      <c r="A285" s="362" t="s">
        <v>33</v>
      </c>
      <c r="B285" s="370">
        <v>0</v>
      </c>
      <c r="C285" s="371">
        <v>0.04</v>
      </c>
      <c r="D285" s="371">
        <v>7.0000000000000007E-2</v>
      </c>
      <c r="E285" s="371">
        <v>0.1</v>
      </c>
      <c r="F285" s="371">
        <v>0.21</v>
      </c>
      <c r="G285" s="371">
        <v>0.35</v>
      </c>
      <c r="H285" s="371">
        <v>0.53</v>
      </c>
      <c r="I285" s="371">
        <v>0.82</v>
      </c>
      <c r="J285" s="371">
        <v>1.18</v>
      </c>
      <c r="K285" s="371">
        <v>1.72</v>
      </c>
      <c r="L285" s="371">
        <v>2.15</v>
      </c>
      <c r="M285" s="371">
        <v>2.39</v>
      </c>
      <c r="N285" s="371">
        <v>2.9</v>
      </c>
      <c r="O285" s="371">
        <v>3.07</v>
      </c>
      <c r="P285" s="371">
        <v>3.56</v>
      </c>
      <c r="Q285" s="371">
        <v>3.98</v>
      </c>
      <c r="R285" s="371">
        <v>4.32</v>
      </c>
      <c r="S285" s="371">
        <v>4.4800000000000004</v>
      </c>
      <c r="T285" s="371">
        <v>4.5999999999999996</v>
      </c>
      <c r="U285" s="371">
        <v>4.6500000000000004</v>
      </c>
      <c r="V285" s="371">
        <v>4.8</v>
      </c>
      <c r="W285" s="371">
        <v>4.83</v>
      </c>
      <c r="X285" s="371">
        <v>4.84</v>
      </c>
      <c r="Y285" s="381">
        <v>1000</v>
      </c>
    </row>
    <row r="286" spans="1:25" x14ac:dyDescent="0.2">
      <c r="A286" s="378" t="s">
        <v>34</v>
      </c>
      <c r="B286" s="372">
        <v>0</v>
      </c>
      <c r="C286" s="373">
        <v>394.4</v>
      </c>
      <c r="D286" s="373">
        <v>617.70000000000005</v>
      </c>
      <c r="E286" s="373">
        <v>645.1</v>
      </c>
      <c r="F286" s="373">
        <v>658.2</v>
      </c>
      <c r="G286" s="373">
        <v>669.2</v>
      </c>
      <c r="H286" s="373">
        <v>667.7</v>
      </c>
      <c r="I286" s="373">
        <v>661.6</v>
      </c>
      <c r="J286" s="373">
        <v>626.9</v>
      </c>
      <c r="K286" s="373">
        <v>588.5</v>
      </c>
      <c r="L286" s="373">
        <v>557.70000000000005</v>
      </c>
      <c r="M286" s="373">
        <v>542.29999999999995</v>
      </c>
      <c r="N286" s="373">
        <v>492.9</v>
      </c>
      <c r="O286" s="373">
        <v>470.3</v>
      </c>
      <c r="P286" s="373">
        <v>426.8</v>
      </c>
      <c r="Q286" s="373">
        <v>399</v>
      </c>
      <c r="R286" s="373">
        <v>394</v>
      </c>
      <c r="S286" s="373">
        <v>380.6</v>
      </c>
      <c r="T286" s="373">
        <v>364.2</v>
      </c>
      <c r="U286" s="373">
        <v>290.89999999999998</v>
      </c>
      <c r="V286" s="373">
        <v>91.2</v>
      </c>
      <c r="W286" s="373">
        <v>45.8</v>
      </c>
      <c r="X286" s="373">
        <v>0</v>
      </c>
      <c r="Y286" s="382">
        <v>0</v>
      </c>
    </row>
    <row r="287" spans="1:25" ht="13.5" thickBot="1" x14ac:dyDescent="0.25">
      <c r="A287" s="379" t="s">
        <v>117</v>
      </c>
      <c r="B287" s="374">
        <f t="shared" ref="B287:V287" si="96">(C286+B286)*(C285-B285)/2</f>
        <v>7.8879999999999999</v>
      </c>
      <c r="C287" s="375">
        <f t="shared" si="96"/>
        <v>15.181500000000003</v>
      </c>
      <c r="D287" s="375">
        <f t="shared" si="96"/>
        <v>18.942000000000004</v>
      </c>
      <c r="E287" s="375">
        <f t="shared" si="96"/>
        <v>71.6815</v>
      </c>
      <c r="F287" s="375">
        <f t="shared" si="96"/>
        <v>92.917999999999992</v>
      </c>
      <c r="G287" s="375">
        <f t="shared" si="96"/>
        <v>120.32100000000004</v>
      </c>
      <c r="H287" s="375">
        <f t="shared" si="96"/>
        <v>192.74849999999998</v>
      </c>
      <c r="I287" s="375">
        <f t="shared" si="96"/>
        <v>231.92999999999998</v>
      </c>
      <c r="J287" s="375">
        <f>(K286+J286)*(K285-J285)/2</f>
        <v>328.15800000000007</v>
      </c>
      <c r="K287" s="375">
        <f t="shared" si="96"/>
        <v>246.43299999999996</v>
      </c>
      <c r="L287" s="375">
        <f t="shared" si="96"/>
        <v>132.00000000000011</v>
      </c>
      <c r="M287" s="375">
        <f t="shared" si="96"/>
        <v>263.97599999999983</v>
      </c>
      <c r="N287" s="375">
        <f t="shared" si="96"/>
        <v>81.871999999999971</v>
      </c>
      <c r="O287" s="375">
        <f t="shared" si="96"/>
        <v>219.78950000000009</v>
      </c>
      <c r="P287" s="375">
        <f t="shared" si="96"/>
        <v>173.41799999999995</v>
      </c>
      <c r="Q287" s="375">
        <f t="shared" si="96"/>
        <v>134.81000000000012</v>
      </c>
      <c r="R287" s="375">
        <f t="shared" si="96"/>
        <v>61.96800000000006</v>
      </c>
      <c r="S287" s="375">
        <f>(T286+S286)*(T285-S285)/2</f>
        <v>44.687999999999704</v>
      </c>
      <c r="T287" s="375">
        <f t="shared" si="96"/>
        <v>16.377500000000232</v>
      </c>
      <c r="U287" s="375">
        <f t="shared" si="96"/>
        <v>28.657499999999896</v>
      </c>
      <c r="V287" s="375">
        <f t="shared" si="96"/>
        <v>2.055000000000017</v>
      </c>
      <c r="W287" s="375">
        <f>(X286+W286)*(X285-W285)/2</f>
        <v>0.2289999999999951</v>
      </c>
      <c r="X287" s="375">
        <f>(Y286+X286)*(Y285-X285)/2</f>
        <v>0</v>
      </c>
      <c r="Y287" s="369"/>
    </row>
    <row r="288" spans="1:25" ht="13.5" thickBot="1" x14ac:dyDescent="0.25">
      <c r="A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</row>
    <row r="289" spans="1:25" ht="13.5" thickBot="1" x14ac:dyDescent="0.25">
      <c r="A289" s="361" t="s">
        <v>551</v>
      </c>
      <c r="B289" s="359">
        <f>ROW(A289)</f>
        <v>289</v>
      </c>
      <c r="C289" s="363" t="s">
        <v>116</v>
      </c>
      <c r="D289" s="353">
        <f>SUM(B292:Y292)</f>
        <v>3739.0284999999994</v>
      </c>
      <c r="E289" s="363" t="s">
        <v>115</v>
      </c>
      <c r="F289" s="354">
        <f>D289/g/J289</f>
        <v>203.4941790441234</v>
      </c>
      <c r="G289" s="363" t="s">
        <v>57</v>
      </c>
      <c r="H289" s="64">
        <v>3.5110000000000001</v>
      </c>
      <c r="I289" s="363" t="s">
        <v>270</v>
      </c>
      <c r="J289" s="355">
        <f>H289-L289</f>
        <v>1.8730000000000002</v>
      </c>
      <c r="K289" s="363" t="s">
        <v>271</v>
      </c>
      <c r="L289" s="64">
        <v>1.6379999999999999</v>
      </c>
      <c r="M289" s="363" t="s">
        <v>58</v>
      </c>
      <c r="N289" s="65">
        <v>243</v>
      </c>
      <c r="O289" s="363" t="s">
        <v>60</v>
      </c>
      <c r="P289" s="65">
        <v>243</v>
      </c>
      <c r="Q289" s="363" t="s">
        <v>61</v>
      </c>
      <c r="R289" s="65">
        <v>486</v>
      </c>
      <c r="S289" s="363" t="s">
        <v>62</v>
      </c>
      <c r="T289" s="65">
        <v>75</v>
      </c>
      <c r="U289" s="363" t="s">
        <v>55</v>
      </c>
      <c r="V289" s="66" t="s">
        <v>119</v>
      </c>
      <c r="W289" s="12"/>
      <c r="X289" s="12"/>
      <c r="Y289" s="12"/>
    </row>
    <row r="290" spans="1:25" x14ac:dyDescent="0.2">
      <c r="A290" s="362" t="s">
        <v>33</v>
      </c>
      <c r="B290" s="370">
        <v>0</v>
      </c>
      <c r="C290" s="371">
        <v>0.01</v>
      </c>
      <c r="D290" s="371">
        <v>0.1</v>
      </c>
      <c r="E290" s="371">
        <v>0.12</v>
      </c>
      <c r="F290" s="371">
        <v>0.26</v>
      </c>
      <c r="G290" s="371">
        <v>0.71</v>
      </c>
      <c r="H290" s="371">
        <v>1.28</v>
      </c>
      <c r="I290" s="371">
        <v>2.0499999999999998</v>
      </c>
      <c r="J290" s="371">
        <v>2.41</v>
      </c>
      <c r="K290" s="371">
        <v>2.83</v>
      </c>
      <c r="L290" s="371">
        <v>3.25</v>
      </c>
      <c r="M290" s="371">
        <v>3.65</v>
      </c>
      <c r="N290" s="371">
        <v>3.8</v>
      </c>
      <c r="O290" s="371">
        <v>4</v>
      </c>
      <c r="P290" s="371">
        <v>4.0999999999999996</v>
      </c>
      <c r="Q290" s="371">
        <v>4.1900000000000004</v>
      </c>
      <c r="R290" s="371">
        <v>4.3099999999999996</v>
      </c>
      <c r="S290" s="371">
        <v>4.41</v>
      </c>
      <c r="T290" s="371">
        <v>4.5199999999999996</v>
      </c>
      <c r="U290" s="371">
        <v>4.5999999999999996</v>
      </c>
      <c r="V290" s="371">
        <v>4.6500000000000004</v>
      </c>
      <c r="W290" s="371">
        <v>4.67</v>
      </c>
      <c r="X290" s="371">
        <v>4.68</v>
      </c>
      <c r="Y290" s="381">
        <v>1000</v>
      </c>
    </row>
    <row r="291" spans="1:25" x14ac:dyDescent="0.2">
      <c r="A291" s="378" t="s">
        <v>34</v>
      </c>
      <c r="B291" s="372">
        <v>27</v>
      </c>
      <c r="C291" s="373">
        <v>402.4</v>
      </c>
      <c r="D291" s="373">
        <v>1286</v>
      </c>
      <c r="E291" s="373">
        <v>1257</v>
      </c>
      <c r="F291" s="373">
        <v>1042</v>
      </c>
      <c r="G291" s="373">
        <v>1027</v>
      </c>
      <c r="H291" s="373">
        <v>998.4</v>
      </c>
      <c r="I291" s="373">
        <v>901.4</v>
      </c>
      <c r="J291" s="373">
        <v>849.6</v>
      </c>
      <c r="K291" s="373">
        <v>763.5</v>
      </c>
      <c r="L291" s="373">
        <v>707.1</v>
      </c>
      <c r="M291" s="373">
        <v>655.1</v>
      </c>
      <c r="N291" s="373">
        <v>651.70000000000005</v>
      </c>
      <c r="O291" s="373">
        <v>624.1</v>
      </c>
      <c r="P291" s="373">
        <v>601.29999999999995</v>
      </c>
      <c r="Q291" s="373">
        <v>536.20000000000005</v>
      </c>
      <c r="R291" s="373">
        <v>415.7</v>
      </c>
      <c r="S291" s="373">
        <v>270.2</v>
      </c>
      <c r="T291" s="373">
        <v>140.19999999999999</v>
      </c>
      <c r="U291" s="373">
        <v>76.900000000000006</v>
      </c>
      <c r="V291" s="373">
        <v>54.9</v>
      </c>
      <c r="W291" s="373">
        <v>40.200000000000003</v>
      </c>
      <c r="X291" s="373">
        <v>0</v>
      </c>
      <c r="Y291" s="382">
        <v>0</v>
      </c>
    </row>
    <row r="292" spans="1:25" ht="13.5" thickBot="1" x14ac:dyDescent="0.25">
      <c r="A292" s="379" t="s">
        <v>117</v>
      </c>
      <c r="B292" s="374">
        <f t="shared" ref="B292:V292" si="97">(C291+B291)*(C290-B290)/2</f>
        <v>2.1469999999999998</v>
      </c>
      <c r="C292" s="375">
        <f t="shared" si="97"/>
        <v>75.978000000000009</v>
      </c>
      <c r="D292" s="375">
        <f t="shared" si="97"/>
        <v>25.429999999999989</v>
      </c>
      <c r="E292" s="375">
        <f t="shared" si="97"/>
        <v>160.93</v>
      </c>
      <c r="F292" s="375">
        <f t="shared" si="97"/>
        <v>465.52499999999998</v>
      </c>
      <c r="G292" s="375">
        <f t="shared" si="97"/>
        <v>577.23900000000003</v>
      </c>
      <c r="H292" s="375">
        <f t="shared" si="97"/>
        <v>731.42299999999977</v>
      </c>
      <c r="I292" s="375">
        <f t="shared" si="97"/>
        <v>315.18000000000029</v>
      </c>
      <c r="J292" s="375">
        <f>(K291+J291)*(K290-J290)/2</f>
        <v>338.75099999999992</v>
      </c>
      <c r="K292" s="375">
        <f t="shared" si="97"/>
        <v>308.82599999999991</v>
      </c>
      <c r="L292" s="375">
        <f t="shared" si="97"/>
        <v>272.43999999999994</v>
      </c>
      <c r="M292" s="375">
        <f t="shared" si="97"/>
        <v>98.009999999999962</v>
      </c>
      <c r="N292" s="375">
        <f t="shared" si="97"/>
        <v>127.58000000000013</v>
      </c>
      <c r="O292" s="375">
        <f t="shared" si="97"/>
        <v>61.26999999999979</v>
      </c>
      <c r="P292" s="375">
        <f t="shared" si="97"/>
        <v>51.187500000000426</v>
      </c>
      <c r="Q292" s="375">
        <f t="shared" si="97"/>
        <v>57.113999999999635</v>
      </c>
      <c r="R292" s="375">
        <f t="shared" si="97"/>
        <v>34.295000000000179</v>
      </c>
      <c r="S292" s="375">
        <f>(T291+S291)*(T290-S290)/2</f>
        <v>22.571999999999882</v>
      </c>
      <c r="T292" s="375">
        <f t="shared" si="97"/>
        <v>8.6840000000000082</v>
      </c>
      <c r="U292" s="375">
        <f t="shared" si="97"/>
        <v>3.295000000000047</v>
      </c>
      <c r="V292" s="375">
        <f t="shared" si="97"/>
        <v>0.95099999999997964</v>
      </c>
      <c r="W292" s="375">
        <f>(X291+W291)*(X290-W290)/2</f>
        <v>0.20099999999999574</v>
      </c>
      <c r="X292" s="375">
        <f>(Y291+X291)*(Y290-X290)/2</f>
        <v>0</v>
      </c>
      <c r="Y292" s="369"/>
    </row>
    <row r="293" spans="1:25" ht="13.5" thickBot="1" x14ac:dyDescent="0.25"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</row>
    <row r="294" spans="1:25" ht="13.5" thickBot="1" x14ac:dyDescent="0.25">
      <c r="A294" s="361" t="s">
        <v>317</v>
      </c>
      <c r="B294" s="359">
        <f>ROW(A294)</f>
        <v>294</v>
      </c>
      <c r="C294" s="363" t="s">
        <v>116</v>
      </c>
      <c r="D294" s="353">
        <f>SUM(B297:Y297)</f>
        <v>5322.2813159999996</v>
      </c>
      <c r="E294" s="363" t="s">
        <v>115</v>
      </c>
      <c r="F294" s="354">
        <f>D294/g/J294</f>
        <v>210.04116210318938</v>
      </c>
      <c r="G294" s="363" t="s">
        <v>57</v>
      </c>
      <c r="H294" s="64">
        <v>4.9770000000000003</v>
      </c>
      <c r="I294" s="363" t="s">
        <v>270</v>
      </c>
      <c r="J294" s="355">
        <f>H294-L294</f>
        <v>2.5830000000000002</v>
      </c>
      <c r="K294" s="363" t="s">
        <v>271</v>
      </c>
      <c r="L294" s="64">
        <v>2.3940000000000001</v>
      </c>
      <c r="M294" s="363" t="s">
        <v>58</v>
      </c>
      <c r="N294" s="65">
        <v>197</v>
      </c>
      <c r="O294" s="363" t="s">
        <v>60</v>
      </c>
      <c r="P294" s="65">
        <v>197</v>
      </c>
      <c r="Q294" s="363" t="s">
        <v>61</v>
      </c>
      <c r="R294" s="65">
        <v>394</v>
      </c>
      <c r="S294" s="363" t="s">
        <v>62</v>
      </c>
      <c r="T294" s="65">
        <v>98</v>
      </c>
      <c r="U294" s="363" t="s">
        <v>55</v>
      </c>
      <c r="V294" s="66" t="s">
        <v>119</v>
      </c>
      <c r="W294" s="12"/>
      <c r="X294" s="12"/>
      <c r="Y294" s="12"/>
    </row>
    <row r="295" spans="1:25" x14ac:dyDescent="0.2">
      <c r="A295" s="362" t="s">
        <v>33</v>
      </c>
      <c r="B295" s="370">
        <v>0</v>
      </c>
      <c r="C295" s="371">
        <v>3.6999999999999998E-2</v>
      </c>
      <c r="D295" s="371">
        <v>0.121</v>
      </c>
      <c r="E295" s="371">
        <v>0.32800000000000001</v>
      </c>
      <c r="F295" s="371">
        <v>1.2989999999999999</v>
      </c>
      <c r="G295" s="371">
        <v>1.5449999999999999</v>
      </c>
      <c r="H295" s="371">
        <v>1.7969999999999999</v>
      </c>
      <c r="I295" s="371">
        <v>1.998</v>
      </c>
      <c r="J295" s="371">
        <v>2.2080000000000002</v>
      </c>
      <c r="K295" s="371">
        <v>2.4620000000000002</v>
      </c>
      <c r="L295" s="371">
        <v>2.782</v>
      </c>
      <c r="M295" s="371">
        <v>3.0859999999999999</v>
      </c>
      <c r="N295" s="371">
        <v>3.2130000000000001</v>
      </c>
      <c r="O295" s="371">
        <v>3.258</v>
      </c>
      <c r="P295" s="371">
        <v>3.3279999999999998</v>
      </c>
      <c r="Q295" s="371">
        <v>3.383</v>
      </c>
      <c r="R295" s="371">
        <v>3.4279999999999999</v>
      </c>
      <c r="S295" s="371">
        <v>3.5</v>
      </c>
      <c r="T295" s="371">
        <v>3.5</v>
      </c>
      <c r="U295" s="371">
        <v>3.5</v>
      </c>
      <c r="V295" s="371">
        <v>3.5</v>
      </c>
      <c r="W295" s="371">
        <v>3.5</v>
      </c>
      <c r="X295" s="371">
        <v>3.5</v>
      </c>
      <c r="Y295" s="381">
        <v>1000</v>
      </c>
    </row>
    <row r="296" spans="1:25" x14ac:dyDescent="0.2">
      <c r="A296" s="378" t="s">
        <v>34</v>
      </c>
      <c r="B296" s="372">
        <v>0</v>
      </c>
      <c r="C296" s="373">
        <v>1474.12</v>
      </c>
      <c r="D296" s="373">
        <v>1436.5</v>
      </c>
      <c r="E296" s="373">
        <v>1523.49</v>
      </c>
      <c r="F296" s="373">
        <v>1775.06</v>
      </c>
      <c r="G296" s="373">
        <v>1807.97</v>
      </c>
      <c r="H296" s="373">
        <v>1807.97</v>
      </c>
      <c r="I296" s="373">
        <v>1786.81</v>
      </c>
      <c r="J296" s="373">
        <v>1737.44</v>
      </c>
      <c r="K296" s="373">
        <v>1572.86</v>
      </c>
      <c r="L296" s="373">
        <v>1415.34</v>
      </c>
      <c r="M296" s="373">
        <v>1309.55</v>
      </c>
      <c r="N296" s="373">
        <v>1290.74</v>
      </c>
      <c r="O296" s="373">
        <v>1309.55</v>
      </c>
      <c r="P296" s="373">
        <v>679.45899999999995</v>
      </c>
      <c r="Q296" s="373">
        <v>173.97900000000001</v>
      </c>
      <c r="R296" s="373">
        <v>68.180999999999997</v>
      </c>
      <c r="S296" s="373">
        <v>0</v>
      </c>
      <c r="T296" s="373">
        <v>0</v>
      </c>
      <c r="U296" s="373">
        <v>0</v>
      </c>
      <c r="V296" s="373">
        <v>0</v>
      </c>
      <c r="W296" s="373">
        <v>0</v>
      </c>
      <c r="X296" s="373">
        <v>0</v>
      </c>
      <c r="Y296" s="382">
        <v>0</v>
      </c>
    </row>
    <row r="297" spans="1:25" ht="13.5" thickBot="1" x14ac:dyDescent="0.25">
      <c r="A297" s="379" t="s">
        <v>117</v>
      </c>
      <c r="B297" s="374">
        <f t="shared" ref="B297:X297" si="98">(C296+B296)*(C295-B295)/2</f>
        <v>27.271219999999996</v>
      </c>
      <c r="C297" s="375">
        <f t="shared" si="98"/>
        <v>122.24603999999998</v>
      </c>
      <c r="D297" s="375">
        <f t="shared" si="98"/>
        <v>306.35896500000001</v>
      </c>
      <c r="E297" s="375">
        <f t="shared" si="98"/>
        <v>1601.446025</v>
      </c>
      <c r="F297" s="375">
        <f t="shared" si="98"/>
        <v>440.71268999999995</v>
      </c>
      <c r="G297" s="375">
        <f t="shared" si="98"/>
        <v>455.60844000000003</v>
      </c>
      <c r="H297" s="375">
        <f t="shared" si="98"/>
        <v>361.27539000000007</v>
      </c>
      <c r="I297" s="375">
        <f t="shared" si="98"/>
        <v>370.04625000000033</v>
      </c>
      <c r="J297" s="375">
        <f t="shared" si="98"/>
        <v>420.40810000000005</v>
      </c>
      <c r="K297" s="375">
        <f t="shared" si="98"/>
        <v>478.11199999999974</v>
      </c>
      <c r="L297" s="375">
        <f t="shared" si="98"/>
        <v>414.18327999999974</v>
      </c>
      <c r="M297" s="375">
        <f t="shared" si="98"/>
        <v>165.11841500000028</v>
      </c>
      <c r="N297" s="375">
        <f t="shared" si="98"/>
        <v>58.506524999999904</v>
      </c>
      <c r="O297" s="375">
        <f t="shared" si="98"/>
        <v>69.615314999999839</v>
      </c>
      <c r="P297" s="375">
        <f t="shared" si="98"/>
        <v>23.469545000000068</v>
      </c>
      <c r="Q297" s="375">
        <f t="shared" si="98"/>
        <v>5.4485999999999919</v>
      </c>
      <c r="R297" s="375">
        <f t="shared" si="98"/>
        <v>2.4545160000000021</v>
      </c>
      <c r="S297" s="375">
        <f t="shared" si="98"/>
        <v>0</v>
      </c>
      <c r="T297" s="375">
        <f t="shared" si="98"/>
        <v>0</v>
      </c>
      <c r="U297" s="375">
        <f t="shared" si="98"/>
        <v>0</v>
      </c>
      <c r="V297" s="375">
        <f t="shared" si="98"/>
        <v>0</v>
      </c>
      <c r="W297" s="375">
        <f t="shared" si="98"/>
        <v>0</v>
      </c>
      <c r="X297" s="375">
        <f t="shared" si="98"/>
        <v>0</v>
      </c>
      <c r="Y297" s="369"/>
    </row>
    <row r="298" spans="1:25" ht="13.5" thickBot="1" x14ac:dyDescent="0.25">
      <c r="A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</row>
    <row r="299" spans="1:25" ht="13.5" thickBot="1" x14ac:dyDescent="0.25">
      <c r="A299" s="361" t="s">
        <v>318</v>
      </c>
      <c r="B299" s="359">
        <f>ROW(A299)</f>
        <v>299</v>
      </c>
      <c r="C299" s="363" t="s">
        <v>116</v>
      </c>
      <c r="D299" s="353">
        <f>SUM(B302:Y302)</f>
        <v>7412.4371409999985</v>
      </c>
      <c r="E299" s="363" t="s">
        <v>115</v>
      </c>
      <c r="F299" s="354">
        <f>D299/g/J299</f>
        <v>223.28608637999045</v>
      </c>
      <c r="G299" s="363" t="s">
        <v>57</v>
      </c>
      <c r="H299" s="64">
        <v>6.25</v>
      </c>
      <c r="I299" s="363" t="s">
        <v>270</v>
      </c>
      <c r="J299" s="355">
        <f>H299-L299</f>
        <v>3.3839999999999999</v>
      </c>
      <c r="K299" s="363" t="s">
        <v>271</v>
      </c>
      <c r="L299" s="64">
        <v>2.8660000000000001</v>
      </c>
      <c r="M299" s="363" t="s">
        <v>58</v>
      </c>
      <c r="N299" s="65">
        <v>290</v>
      </c>
      <c r="O299" s="363" t="s">
        <v>60</v>
      </c>
      <c r="P299" s="65">
        <v>290</v>
      </c>
      <c r="Q299" s="363" t="s">
        <v>61</v>
      </c>
      <c r="R299" s="65">
        <v>579</v>
      </c>
      <c r="S299" s="363" t="s">
        <v>62</v>
      </c>
      <c r="T299" s="65">
        <v>98</v>
      </c>
      <c r="U299" s="363" t="s">
        <v>55</v>
      </c>
      <c r="V299" s="66" t="s">
        <v>119</v>
      </c>
      <c r="W299" s="12"/>
      <c r="X299" s="12"/>
      <c r="Y299" s="12"/>
    </row>
    <row r="300" spans="1:25" x14ac:dyDescent="0.2">
      <c r="A300" s="362" t="s">
        <v>33</v>
      </c>
      <c r="B300" s="370">
        <v>0</v>
      </c>
      <c r="C300" s="371">
        <v>1.7000000000000001E-2</v>
      </c>
      <c r="D300" s="371">
        <v>5.1999999999999998E-2</v>
      </c>
      <c r="E300" s="371">
        <v>8.7999999999999995E-2</v>
      </c>
      <c r="F300" s="371">
        <v>0.108</v>
      </c>
      <c r="G300" s="371">
        <v>0.127</v>
      </c>
      <c r="H300" s="371">
        <v>0.17399999999999999</v>
      </c>
      <c r="I300" s="371">
        <v>0.25700000000000001</v>
      </c>
      <c r="J300" s="371">
        <v>0.40300000000000002</v>
      </c>
      <c r="K300" s="371">
        <v>0.76200000000000001</v>
      </c>
      <c r="L300" s="371">
        <v>0.97699999999999998</v>
      </c>
      <c r="M300" s="371">
        <v>1.341</v>
      </c>
      <c r="N300" s="371">
        <v>1.5009999999999999</v>
      </c>
      <c r="O300" s="371">
        <v>1.661</v>
      </c>
      <c r="P300" s="371">
        <v>1.96</v>
      </c>
      <c r="Q300" s="371">
        <v>2.4039999999999999</v>
      </c>
      <c r="R300" s="371">
        <v>2.641</v>
      </c>
      <c r="S300" s="371">
        <v>2.7160000000000002</v>
      </c>
      <c r="T300" s="371">
        <v>2.8210000000000002</v>
      </c>
      <c r="U300" s="371">
        <v>2.8919999999999999</v>
      </c>
      <c r="V300" s="371">
        <v>2.92</v>
      </c>
      <c r="W300" s="371">
        <v>2.97</v>
      </c>
      <c r="X300" s="371">
        <v>3</v>
      </c>
      <c r="Y300" s="381">
        <v>1000</v>
      </c>
    </row>
    <row r="301" spans="1:25" x14ac:dyDescent="0.2">
      <c r="A301" s="378" t="s">
        <v>34</v>
      </c>
      <c r="B301" s="372">
        <v>0</v>
      </c>
      <c r="C301" s="373">
        <v>329.84699999999998</v>
      </c>
      <c r="D301" s="373">
        <v>1003.68</v>
      </c>
      <c r="E301" s="373">
        <v>2346.62</v>
      </c>
      <c r="F301" s="373">
        <v>2549.2399999999998</v>
      </c>
      <c r="G301" s="373">
        <v>2605.79</v>
      </c>
      <c r="H301" s="373">
        <v>2520.9699999999998</v>
      </c>
      <c r="I301" s="373">
        <v>2516.2600000000002</v>
      </c>
      <c r="J301" s="373">
        <v>2596.37</v>
      </c>
      <c r="K301" s="373">
        <v>2808.41</v>
      </c>
      <c r="L301" s="373">
        <v>2954.49</v>
      </c>
      <c r="M301" s="373">
        <v>2959.2</v>
      </c>
      <c r="N301" s="373">
        <v>2907.36</v>
      </c>
      <c r="O301" s="373">
        <v>2869.67</v>
      </c>
      <c r="P301" s="373">
        <v>2695.32</v>
      </c>
      <c r="Q301" s="373">
        <v>2351.34</v>
      </c>
      <c r="R301" s="373">
        <v>2228.8200000000002</v>
      </c>
      <c r="S301" s="373">
        <v>2007.35</v>
      </c>
      <c r="T301" s="373">
        <v>1427.77</v>
      </c>
      <c r="U301" s="373">
        <v>504.19400000000002</v>
      </c>
      <c r="V301" s="373">
        <v>334.55900000000003</v>
      </c>
      <c r="W301" s="373">
        <v>122.515</v>
      </c>
      <c r="X301" s="373">
        <v>0</v>
      </c>
      <c r="Y301" s="382">
        <v>0</v>
      </c>
    </row>
    <row r="302" spans="1:25" ht="13.5" thickBot="1" x14ac:dyDescent="0.25">
      <c r="A302" s="379" t="s">
        <v>117</v>
      </c>
      <c r="B302" s="374">
        <f t="shared" ref="B302:X302" si="99">(C301+B301)*(C300-B300)/2</f>
        <v>2.8036995</v>
      </c>
      <c r="C302" s="375">
        <f t="shared" si="99"/>
        <v>23.336722499999997</v>
      </c>
      <c r="D302" s="375">
        <f t="shared" si="99"/>
        <v>60.305399999999992</v>
      </c>
      <c r="E302" s="375">
        <f t="shared" si="99"/>
        <v>48.958600000000004</v>
      </c>
      <c r="F302" s="375">
        <f t="shared" si="99"/>
        <v>48.972785000000002</v>
      </c>
      <c r="G302" s="375">
        <f t="shared" si="99"/>
        <v>120.47885999999997</v>
      </c>
      <c r="H302" s="375">
        <f t="shared" si="99"/>
        <v>209.04504500000002</v>
      </c>
      <c r="I302" s="375">
        <f t="shared" si="99"/>
        <v>373.22199000000006</v>
      </c>
      <c r="J302" s="375">
        <f t="shared" si="99"/>
        <v>970.15800999999988</v>
      </c>
      <c r="K302" s="375">
        <f t="shared" si="99"/>
        <v>619.51174999999989</v>
      </c>
      <c r="L302" s="375">
        <f t="shared" si="99"/>
        <v>1076.2915799999998</v>
      </c>
      <c r="M302" s="375">
        <f t="shared" si="99"/>
        <v>469.3247999999997</v>
      </c>
      <c r="N302" s="375">
        <f t="shared" si="99"/>
        <v>462.16240000000045</v>
      </c>
      <c r="O302" s="375">
        <f t="shared" si="99"/>
        <v>831.96600499999977</v>
      </c>
      <c r="P302" s="375">
        <f t="shared" si="99"/>
        <v>1120.3585199999998</v>
      </c>
      <c r="Q302" s="375">
        <f t="shared" si="99"/>
        <v>542.74896000000024</v>
      </c>
      <c r="R302" s="375">
        <f t="shared" si="99"/>
        <v>158.85637500000038</v>
      </c>
      <c r="S302" s="375">
        <f t="shared" si="99"/>
        <v>180.34379999999996</v>
      </c>
      <c r="T302" s="375">
        <f t="shared" si="99"/>
        <v>68.584721999999744</v>
      </c>
      <c r="U302" s="375">
        <f t="shared" si="99"/>
        <v>11.742542000000011</v>
      </c>
      <c r="V302" s="375">
        <f t="shared" si="99"/>
        <v>11.42685000000006</v>
      </c>
      <c r="W302" s="375">
        <f t="shared" si="99"/>
        <v>1.8377249999999881</v>
      </c>
      <c r="X302" s="375">
        <f t="shared" si="99"/>
        <v>0</v>
      </c>
      <c r="Y302" s="369"/>
    </row>
    <row r="303" spans="1:25" ht="13.5" thickBot="1" x14ac:dyDescent="0.25"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</row>
    <row r="304" spans="1:25" ht="13.5" thickBot="1" x14ac:dyDescent="0.25">
      <c r="A304" s="361" t="s">
        <v>552</v>
      </c>
      <c r="B304" s="359">
        <f>ROW(A304)</f>
        <v>304</v>
      </c>
      <c r="C304" s="363" t="s">
        <v>116</v>
      </c>
      <c r="D304" s="353">
        <f>SUM(B307:Y307)</f>
        <v>17734.977350500001</v>
      </c>
      <c r="E304" s="363" t="s">
        <v>115</v>
      </c>
      <c r="F304" s="354">
        <f>D304/g/J304</f>
        <v>192.73420306179892</v>
      </c>
      <c r="G304" s="363" t="s">
        <v>57</v>
      </c>
      <c r="H304" s="64">
        <v>14.747999999999999</v>
      </c>
      <c r="I304" s="363" t="s">
        <v>270</v>
      </c>
      <c r="J304" s="355">
        <f>H304-L304</f>
        <v>9.379999999999999</v>
      </c>
      <c r="K304" s="363" t="s">
        <v>271</v>
      </c>
      <c r="L304" s="64">
        <v>5.3680000000000003</v>
      </c>
      <c r="M304" s="363" t="s">
        <v>58</v>
      </c>
      <c r="N304" s="65">
        <v>500</v>
      </c>
      <c r="O304" s="363" t="s">
        <v>60</v>
      </c>
      <c r="P304" s="65">
        <v>500</v>
      </c>
      <c r="Q304" s="363" t="s">
        <v>61</v>
      </c>
      <c r="R304" s="65">
        <v>1046</v>
      </c>
      <c r="S304" s="363" t="s">
        <v>62</v>
      </c>
      <c r="T304" s="65">
        <v>98</v>
      </c>
      <c r="U304" s="363" t="s">
        <v>55</v>
      </c>
      <c r="V304" s="66" t="s">
        <v>119</v>
      </c>
      <c r="W304" s="12"/>
      <c r="X304" s="12"/>
      <c r="Y304" s="12"/>
    </row>
    <row r="305" spans="1:25" x14ac:dyDescent="0.2">
      <c r="A305" s="362" t="s">
        <v>33</v>
      </c>
      <c r="B305" s="370">
        <v>0</v>
      </c>
      <c r="C305" s="371">
        <v>3.0000000000000001E-3</v>
      </c>
      <c r="D305" s="371">
        <v>0.05</v>
      </c>
      <c r="E305" s="371">
        <v>7.8E-2</v>
      </c>
      <c r="F305" s="371">
        <v>0.121</v>
      </c>
      <c r="G305" s="371">
        <v>0.65200000000000002</v>
      </c>
      <c r="H305" s="371">
        <v>1.123</v>
      </c>
      <c r="I305" s="371">
        <v>1.655</v>
      </c>
      <c r="J305" s="371">
        <v>2.3530000000000002</v>
      </c>
      <c r="K305" s="371">
        <v>3.0350000000000001</v>
      </c>
      <c r="L305" s="371">
        <v>3.7</v>
      </c>
      <c r="M305" s="371">
        <v>3.7330000000000001</v>
      </c>
      <c r="N305" s="371">
        <v>3.887</v>
      </c>
      <c r="O305" s="371">
        <v>4.0359999999999996</v>
      </c>
      <c r="P305" s="371">
        <v>4.1970000000000001</v>
      </c>
      <c r="Q305" s="371">
        <v>4.2619999999999996</v>
      </c>
      <c r="R305" s="371">
        <v>4.3</v>
      </c>
      <c r="S305" s="371">
        <v>5</v>
      </c>
      <c r="T305" s="371">
        <v>5</v>
      </c>
      <c r="U305" s="371">
        <v>5</v>
      </c>
      <c r="V305" s="371">
        <v>5</v>
      </c>
      <c r="W305" s="371">
        <v>5</v>
      </c>
      <c r="X305" s="371">
        <v>5</v>
      </c>
      <c r="Y305" s="381">
        <v>1000</v>
      </c>
    </row>
    <row r="306" spans="1:25" x14ac:dyDescent="0.2">
      <c r="A306" s="378" t="s">
        <v>34</v>
      </c>
      <c r="B306" s="372">
        <v>0</v>
      </c>
      <c r="C306" s="373">
        <v>203.87700000000001</v>
      </c>
      <c r="D306" s="373">
        <v>2362.8789999999999</v>
      </c>
      <c r="E306" s="373">
        <v>3946.8449999999998</v>
      </c>
      <c r="F306" s="373">
        <v>4281.4120000000003</v>
      </c>
      <c r="G306" s="373">
        <v>4370.2809999999999</v>
      </c>
      <c r="H306" s="373">
        <v>4453.9229999999998</v>
      </c>
      <c r="I306" s="373">
        <v>4772.8069999999998</v>
      </c>
      <c r="J306" s="373">
        <v>4621.2060000000001</v>
      </c>
      <c r="K306" s="373">
        <v>4511.4269999999997</v>
      </c>
      <c r="L306" s="373">
        <v>4375.509</v>
      </c>
      <c r="M306" s="373">
        <v>4182.0870000000004</v>
      </c>
      <c r="N306" s="373">
        <v>2969.2820000000002</v>
      </c>
      <c r="O306" s="373">
        <v>1589.193</v>
      </c>
      <c r="P306" s="373">
        <v>533.21600000000001</v>
      </c>
      <c r="Q306" s="373">
        <v>240.47</v>
      </c>
      <c r="R306" s="373">
        <v>0</v>
      </c>
      <c r="S306" s="373">
        <v>0</v>
      </c>
      <c r="T306" s="373">
        <v>0</v>
      </c>
      <c r="U306" s="373">
        <v>0</v>
      </c>
      <c r="V306" s="373">
        <v>0</v>
      </c>
      <c r="W306" s="373">
        <v>0</v>
      </c>
      <c r="X306" s="373">
        <v>0</v>
      </c>
      <c r="Y306" s="382">
        <v>0</v>
      </c>
    </row>
    <row r="307" spans="1:25" ht="13.5" thickBot="1" x14ac:dyDescent="0.25">
      <c r="A307" s="379" t="s">
        <v>117</v>
      </c>
      <c r="B307" s="374">
        <f t="shared" ref="B307" si="100">(C306+B306)*(C305-B305)/2</f>
        <v>0.30581550000000002</v>
      </c>
      <c r="C307" s="375">
        <f t="shared" ref="C307" si="101">(D306+C306)*(D305-C305)/2</f>
        <v>60.318765999999997</v>
      </c>
      <c r="D307" s="375">
        <f t="shared" ref="D307" si="102">(E306+D306)*(E305-D305)/2</f>
        <v>88.336135999999996</v>
      </c>
      <c r="E307" s="375">
        <f t="shared" ref="E307" si="103">(F306+E306)*(F305-E305)/2</f>
        <v>176.90752549999999</v>
      </c>
      <c r="F307" s="375">
        <f t="shared" ref="F307" si="104">(G306+F306)*(G305-F305)/2</f>
        <v>2297.0244914999998</v>
      </c>
      <c r="G307" s="375">
        <f t="shared" ref="G307" si="105">(H306+G306)*(H305-G305)/2</f>
        <v>2078.100042</v>
      </c>
      <c r="H307" s="375">
        <f t="shared" ref="H307" si="106">(I306+H306)*(I305-H305)/2</f>
        <v>2454.3101799999999</v>
      </c>
      <c r="I307" s="375">
        <f t="shared" ref="I307" si="107">(J306+I306)*(J305-I305)/2</f>
        <v>3278.5105370000006</v>
      </c>
      <c r="J307" s="375">
        <f t="shared" ref="J307" si="108">(K306+J306)*(K305-J305)/2</f>
        <v>3114.2278529999999</v>
      </c>
      <c r="K307" s="375">
        <f t="shared" ref="K307" si="109">(L306+K306)*(L305-K305)/2</f>
        <v>2954.9062199999998</v>
      </c>
      <c r="L307" s="375">
        <f t="shared" ref="L307" si="110">(M306+L306)*(M305-L305)/2</f>
        <v>141.20033399999969</v>
      </c>
      <c r="M307" s="375">
        <f t="shared" ref="M307" si="111">(N306+M306)*(N305-M305)/2</f>
        <v>550.65541299999973</v>
      </c>
      <c r="N307" s="375">
        <f t="shared" ref="N307" si="112">(O306+N306)*(O305-N305)/2</f>
        <v>339.60638749999907</v>
      </c>
      <c r="O307" s="375">
        <f t="shared" ref="O307" si="113">(P306+O306)*(P305-O305)/2</f>
        <v>170.85392450000052</v>
      </c>
      <c r="P307" s="375">
        <f t="shared" ref="P307" si="114">(Q306+P306)*(Q305-P305)/2</f>
        <v>25.14479499999981</v>
      </c>
      <c r="Q307" s="375">
        <f t="shared" ref="Q307" si="115">(R306+Q306)*(R305-Q305)/2</f>
        <v>4.568930000000031</v>
      </c>
      <c r="R307" s="375">
        <f t="shared" ref="R307" si="116">(S306+R306)*(S305-R305)/2</f>
        <v>0</v>
      </c>
      <c r="S307" s="375">
        <f t="shared" ref="S307" si="117">(T306+S306)*(T305-S305)/2</f>
        <v>0</v>
      </c>
      <c r="T307" s="375">
        <f t="shared" ref="T307" si="118">(U306+T306)*(U305-T305)/2</f>
        <v>0</v>
      </c>
      <c r="U307" s="375">
        <f t="shared" ref="U307" si="119">(V306+U306)*(V305-U305)/2</f>
        <v>0</v>
      </c>
      <c r="V307" s="375">
        <f t="shared" ref="V307" si="120">(W306+V306)*(W305-V305)/2</f>
        <v>0</v>
      </c>
      <c r="W307" s="375">
        <f t="shared" ref="W307" si="121">(X306+W306)*(X305-W305)/2</f>
        <v>0</v>
      </c>
      <c r="X307" s="375">
        <f t="shared" ref="X307" si="122">(Y306+X306)*(Y305-X305)/2</f>
        <v>0</v>
      </c>
      <c r="Y307" s="369"/>
    </row>
    <row r="308" spans="1:25" ht="13.5" thickBot="1" x14ac:dyDescent="0.25"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</row>
    <row r="309" spans="1:25" ht="13.5" thickBot="1" x14ac:dyDescent="0.25">
      <c r="A309" s="361" t="s">
        <v>45</v>
      </c>
      <c r="B309" s="359">
        <f>ROW(A309)</f>
        <v>309</v>
      </c>
      <c r="C309" s="363" t="s">
        <v>116</v>
      </c>
      <c r="D309" s="353">
        <f>SUM(B312:Y312)</f>
        <v>1E-3</v>
      </c>
      <c r="E309" s="363" t="s">
        <v>115</v>
      </c>
      <c r="F309" s="354">
        <f>D309/g/J309</f>
        <v>1.019367991845056</v>
      </c>
      <c r="G309" s="363" t="s">
        <v>57</v>
      </c>
      <c r="H309" s="64">
        <v>1E-4</v>
      </c>
      <c r="I309" s="363" t="s">
        <v>270</v>
      </c>
      <c r="J309" s="355">
        <f>H309-L309</f>
        <v>1E-4</v>
      </c>
      <c r="K309" s="363" t="s">
        <v>271</v>
      </c>
      <c r="L309" s="64">
        <v>0</v>
      </c>
      <c r="M309" s="363" t="s">
        <v>58</v>
      </c>
      <c r="N309" s="65">
        <v>0</v>
      </c>
      <c r="O309" s="363" t="s">
        <v>60</v>
      </c>
      <c r="P309" s="65">
        <v>0</v>
      </c>
      <c r="Q309" s="363" t="s">
        <v>61</v>
      </c>
      <c r="R309" s="65">
        <v>0</v>
      </c>
      <c r="S309" s="363" t="s">
        <v>62</v>
      </c>
      <c r="T309" s="65">
        <v>0</v>
      </c>
      <c r="U309" s="363" t="s">
        <v>55</v>
      </c>
      <c r="V309" s="66" t="s">
        <v>119</v>
      </c>
      <c r="W309" s="12"/>
      <c r="X309" s="12"/>
      <c r="Y309" s="12"/>
    </row>
    <row r="310" spans="1:25" x14ac:dyDescent="0.2">
      <c r="A310" s="362" t="s">
        <v>33</v>
      </c>
      <c r="B310" s="370">
        <v>0</v>
      </c>
      <c r="C310" s="371">
        <v>0.1</v>
      </c>
      <c r="D310" s="371">
        <v>0.2</v>
      </c>
      <c r="E310" s="371">
        <v>1</v>
      </c>
      <c r="F310" s="371">
        <v>1</v>
      </c>
      <c r="G310" s="371">
        <v>1</v>
      </c>
      <c r="H310" s="371">
        <v>1</v>
      </c>
      <c r="I310" s="371">
        <v>1</v>
      </c>
      <c r="J310" s="371">
        <v>1</v>
      </c>
      <c r="K310" s="371">
        <v>1</v>
      </c>
      <c r="L310" s="371">
        <v>1</v>
      </c>
      <c r="M310" s="371">
        <v>1</v>
      </c>
      <c r="N310" s="371">
        <v>1</v>
      </c>
      <c r="O310" s="371">
        <v>1</v>
      </c>
      <c r="P310" s="371">
        <v>1</v>
      </c>
      <c r="Q310" s="371">
        <v>1</v>
      </c>
      <c r="R310" s="371">
        <v>1</v>
      </c>
      <c r="S310" s="371">
        <v>1</v>
      </c>
      <c r="T310" s="371">
        <v>1</v>
      </c>
      <c r="U310" s="371">
        <v>1</v>
      </c>
      <c r="V310" s="371">
        <v>1</v>
      </c>
      <c r="W310" s="371">
        <v>1</v>
      </c>
      <c r="X310" s="371">
        <v>1</v>
      </c>
      <c r="Y310" s="381">
        <v>1000</v>
      </c>
    </row>
    <row r="311" spans="1:25" x14ac:dyDescent="0.2">
      <c r="A311" s="378" t="s">
        <v>34</v>
      </c>
      <c r="B311" s="372">
        <v>0</v>
      </c>
      <c r="C311" s="373">
        <v>0.01</v>
      </c>
      <c r="D311" s="373">
        <v>0</v>
      </c>
      <c r="E311" s="373">
        <v>0</v>
      </c>
      <c r="F311" s="373">
        <v>0</v>
      </c>
      <c r="G311" s="373">
        <v>0</v>
      </c>
      <c r="H311" s="373">
        <v>0</v>
      </c>
      <c r="I311" s="373">
        <v>0</v>
      </c>
      <c r="J311" s="373">
        <v>0</v>
      </c>
      <c r="K311" s="373">
        <v>0</v>
      </c>
      <c r="L311" s="373">
        <v>0</v>
      </c>
      <c r="M311" s="373">
        <v>0</v>
      </c>
      <c r="N311" s="373">
        <v>0</v>
      </c>
      <c r="O311" s="373">
        <v>0</v>
      </c>
      <c r="P311" s="373">
        <v>0</v>
      </c>
      <c r="Q311" s="373">
        <v>0</v>
      </c>
      <c r="R311" s="373">
        <v>0</v>
      </c>
      <c r="S311" s="373">
        <v>0</v>
      </c>
      <c r="T311" s="373">
        <v>0</v>
      </c>
      <c r="U311" s="373">
        <v>0</v>
      </c>
      <c r="V311" s="373">
        <v>0</v>
      </c>
      <c r="W311" s="373">
        <v>0</v>
      </c>
      <c r="X311" s="373">
        <v>0</v>
      </c>
      <c r="Y311" s="382">
        <v>0</v>
      </c>
    </row>
    <row r="312" spans="1:25" ht="13.5" thickBot="1" x14ac:dyDescent="0.25">
      <c r="A312" s="379" t="s">
        <v>117</v>
      </c>
      <c r="B312" s="374">
        <f t="shared" ref="B312:G312" si="123">(C311+B311)*(C310-B310)/2</f>
        <v>5.0000000000000001E-4</v>
      </c>
      <c r="C312" s="375">
        <f t="shared" si="123"/>
        <v>5.0000000000000001E-4</v>
      </c>
      <c r="D312" s="375">
        <f t="shared" si="123"/>
        <v>0</v>
      </c>
      <c r="E312" s="375">
        <f t="shared" si="123"/>
        <v>0</v>
      </c>
      <c r="F312" s="375">
        <f t="shared" si="123"/>
        <v>0</v>
      </c>
      <c r="G312" s="375">
        <f t="shared" si="123"/>
        <v>0</v>
      </c>
      <c r="H312" s="375">
        <f t="shared" ref="H312:V312" si="124">(I311+H311)*(I310-H310)/2</f>
        <v>0</v>
      </c>
      <c r="I312" s="375">
        <f t="shared" si="124"/>
        <v>0</v>
      </c>
      <c r="J312" s="375">
        <f>(K311+J311)*(K310-J310)/2</f>
        <v>0</v>
      </c>
      <c r="K312" s="375">
        <f t="shared" si="124"/>
        <v>0</v>
      </c>
      <c r="L312" s="375">
        <f t="shared" si="124"/>
        <v>0</v>
      </c>
      <c r="M312" s="375">
        <f t="shared" si="124"/>
        <v>0</v>
      </c>
      <c r="N312" s="375">
        <f t="shared" si="124"/>
        <v>0</v>
      </c>
      <c r="O312" s="375">
        <f t="shared" si="124"/>
        <v>0</v>
      </c>
      <c r="P312" s="375">
        <f t="shared" si="124"/>
        <v>0</v>
      </c>
      <c r="Q312" s="375">
        <f t="shared" si="124"/>
        <v>0</v>
      </c>
      <c r="R312" s="375">
        <f t="shared" si="124"/>
        <v>0</v>
      </c>
      <c r="S312" s="375">
        <f>(T311+S311)*(T310-S310)/2</f>
        <v>0</v>
      </c>
      <c r="T312" s="375">
        <f t="shared" si="124"/>
        <v>0</v>
      </c>
      <c r="U312" s="375">
        <f t="shared" si="124"/>
        <v>0</v>
      </c>
      <c r="V312" s="375">
        <f t="shared" si="124"/>
        <v>0</v>
      </c>
      <c r="W312" s="375">
        <f>(X311+W311)*(X310-W310)/2</f>
        <v>0</v>
      </c>
      <c r="X312" s="375">
        <f>(Y311+X311)*(Y310-X310)/2</f>
        <v>0</v>
      </c>
      <c r="Y312" s="369"/>
    </row>
    <row r="314" spans="1:25" x14ac:dyDescent="0.2"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</row>
    <row r="316" spans="1:25" x14ac:dyDescent="0.2">
      <c r="A316" s="397" t="str">
        <f>IF(Lang="Français","Liste des propu affichés :","Motor list (shown):")</f>
        <v>Liste des propu affichés :</v>
      </c>
      <c r="C316" s="632" t="s">
        <v>275</v>
      </c>
      <c r="D316" s="633"/>
      <c r="F316" s="632" t="s">
        <v>182</v>
      </c>
      <c r="G316" s="633"/>
      <c r="H316" s="12"/>
      <c r="I316" s="632" t="s">
        <v>397</v>
      </c>
      <c r="J316" s="633"/>
      <c r="K316" s="12"/>
      <c r="L316" s="632" t="s">
        <v>183</v>
      </c>
      <c r="M316" s="633"/>
      <c r="O316" s="632" t="s">
        <v>396</v>
      </c>
      <c r="P316" s="633"/>
      <c r="R316" s="632" t="s">
        <v>119</v>
      </c>
      <c r="S316" s="633"/>
    </row>
    <row r="317" spans="1:25" x14ac:dyDescent="0.2">
      <c r="A317" s="398" t="str">
        <f t="array" ref="A317:A346">IF(RIGHT(Type_fusee,1)=".",Liste_fusex, IF(LEFT(Type_fusee,4)="Mini",Liste_minif, IF(LEFT(Type_fusee,5)="Micro",Liste_µfu, IF(RIGHT(Type_fusee,1)=" ",Liste_H2O, IF(LEFT(Type_fusee,1)="R",Liste_RC, IF(LEFT(Type_fusee,1)=",",Liste_minifT))))))</f>
        <v>Barasinga (Pro54-5G C)</v>
      </c>
      <c r="C317" s="634" t="str">
        <f>A26</f>
        <v>H2O 1.5L 300g 6bar</v>
      </c>
      <c r="D317" s="635"/>
      <c r="F317" s="634" t="str">
        <f>A67</f>
        <v>µ-propu A8-3</v>
      </c>
      <c r="G317" s="635"/>
      <c r="H317" s="473"/>
      <c r="I317" s="636" t="str">
        <f>A148</f>
        <v>p29-1G 56F31</v>
      </c>
      <c r="J317" s="637"/>
      <c r="K317" s="473"/>
      <c r="L317" s="636" t="str">
        <f>A148</f>
        <v>p29-1G 56F31</v>
      </c>
      <c r="M317" s="637"/>
      <c r="O317" s="634" t="str">
        <f>A108</f>
        <v>p24-1G 24E22</v>
      </c>
      <c r="P317" s="635"/>
      <c r="R317" s="634" t="str">
        <f>A279</f>
        <v>Barasinga (Pro54-5G C)</v>
      </c>
      <c r="S317" s="635"/>
    </row>
    <row r="318" spans="1:25" x14ac:dyDescent="0.2">
      <c r="A318" s="398" t="str">
        <v>Orignal (Pro75-3G C)</v>
      </c>
      <c r="C318" s="634" t="str">
        <f>A31</f>
        <v>H2O 1.5L 450g 6bar</v>
      </c>
      <c r="D318" s="635"/>
      <c r="F318" s="634" t="str">
        <f>A72</f>
        <v>µ-propu B4-4</v>
      </c>
      <c r="G318" s="635"/>
      <c r="H318" s="473"/>
      <c r="I318" s="636" t="str">
        <f>A153</f>
        <v>p29-1G 56F120</v>
      </c>
      <c r="J318" s="637"/>
      <c r="K318" s="473"/>
      <c r="L318" s="636" t="str">
        <f>A153</f>
        <v>p29-1G 56F120</v>
      </c>
      <c r="M318" s="637"/>
      <c r="O318" s="634" t="str">
        <f>A113</f>
        <v>p24-1G 25E75 (Rufina)</v>
      </c>
      <c r="P318" s="635"/>
      <c r="R318" s="634" t="str">
        <f>A289</f>
        <v>Orignal (Pro75-3G C)</v>
      </c>
      <c r="S318" s="635"/>
    </row>
    <row r="319" spans="1:25" x14ac:dyDescent="0.2">
      <c r="A319" s="398" t="str">
        <v xml:space="preserve"> </v>
      </c>
      <c r="C319" s="634" t="str">
        <f>A36</f>
        <v>H2O 1.5L 600g 6bar</v>
      </c>
      <c r="D319" s="635"/>
      <c r="F319" s="634" t="str">
        <f>A77</f>
        <v>µ-propu C6-3</v>
      </c>
      <c r="G319" s="635"/>
      <c r="H319" s="473"/>
      <c r="I319" s="636" t="str">
        <f>A158</f>
        <v>p29-1G 57F59</v>
      </c>
      <c r="J319" s="637"/>
      <c r="K319" s="473"/>
      <c r="L319" s="636" t="str">
        <f>A158</f>
        <v>p29-1G 57F59</v>
      </c>
      <c r="M319" s="637"/>
      <c r="O319" s="634" t="str">
        <f>A118</f>
        <v>p24-1G 26E31</v>
      </c>
      <c r="P319" s="635"/>
      <c r="R319" s="634" t="s">
        <v>184</v>
      </c>
      <c r="S319" s="635"/>
    </row>
    <row r="320" spans="1:25" x14ac:dyDescent="0.2">
      <c r="A320" s="398" t="str">
        <v xml:space="preserve"> </v>
      </c>
      <c r="C320" s="634" t="str">
        <f>A41</f>
        <v>H2O 1.5L 750g 6bar</v>
      </c>
      <c r="D320" s="635"/>
      <c r="F320" s="634" t="str">
        <f>A82</f>
        <v>µ-propu C6-3 x2</v>
      </c>
      <c r="G320" s="635"/>
      <c r="H320" s="473"/>
      <c r="I320" s="636" t="str">
        <f>A183</f>
        <v>p24-3G 74F85</v>
      </c>
      <c r="J320" s="637"/>
      <c r="K320" s="473"/>
      <c r="L320" s="636" t="str">
        <f>A228</f>
        <v>p29-2G 116G126</v>
      </c>
      <c r="M320" s="637"/>
      <c r="O320" s="634" t="str">
        <f>A123</f>
        <v>p24-2G 50E51</v>
      </c>
      <c r="P320" s="635"/>
      <c r="R320" s="634" t="s">
        <v>184</v>
      </c>
      <c r="S320" s="635"/>
    </row>
    <row r="321" spans="1:19" x14ac:dyDescent="0.2">
      <c r="A321" s="398" t="str">
        <v xml:space="preserve"> </v>
      </c>
      <c r="C321" s="634" t="str">
        <f>A46</f>
        <v>H2O 2.0L 400g 6bar</v>
      </c>
      <c r="D321" s="635"/>
      <c r="F321" s="634" t="str">
        <f>A87</f>
        <v>µ-propu C6-3 x3</v>
      </c>
      <c r="G321" s="635"/>
      <c r="H321" s="473"/>
      <c r="I321" s="636" t="str">
        <f>A188</f>
        <v>p24-3G 75F51</v>
      </c>
      <c r="J321" s="637"/>
      <c r="K321" s="473"/>
      <c r="L321" s="636" t="s">
        <v>184</v>
      </c>
      <c r="M321" s="637"/>
      <c r="O321" s="634" t="str">
        <f>A128</f>
        <v>p24-1G 53E70</v>
      </c>
      <c r="P321" s="635"/>
      <c r="R321" s="634" t="s">
        <v>184</v>
      </c>
      <c r="S321" s="635"/>
    </row>
    <row r="322" spans="1:19" x14ac:dyDescent="0.2">
      <c r="A322" s="398" t="str">
        <v xml:space="preserve"> </v>
      </c>
      <c r="C322" s="634" t="str">
        <f>A51</f>
        <v>H2O 2.0L 600g 6bar</v>
      </c>
      <c r="D322" s="635"/>
      <c r="F322" s="634" t="s">
        <v>184</v>
      </c>
      <c r="G322" s="635"/>
      <c r="H322" s="473"/>
      <c r="I322" s="636" t="s">
        <v>184</v>
      </c>
      <c r="J322" s="637"/>
      <c r="K322" s="473"/>
      <c r="L322" s="634" t="str">
        <f>A198</f>
        <v>Pandora (Pro24-6G BS)</v>
      </c>
      <c r="M322" s="635"/>
      <c r="O322" s="634" t="str">
        <f>A133</f>
        <v>p29-1G 41F36</v>
      </c>
      <c r="P322" s="635"/>
      <c r="R322" s="634" t="s">
        <v>184</v>
      </c>
      <c r="S322" s="635"/>
    </row>
    <row r="323" spans="1:19" x14ac:dyDescent="0.2">
      <c r="A323" s="398" t="str">
        <v xml:space="preserve"> </v>
      </c>
      <c r="C323" s="634" t="str">
        <f>A56</f>
        <v>H2O 2.0L 800g 6bar</v>
      </c>
      <c r="D323" s="635"/>
      <c r="F323" s="634" t="s">
        <v>184</v>
      </c>
      <c r="G323" s="635"/>
      <c r="H323" s="473"/>
      <c r="I323" s="636" t="s">
        <v>184</v>
      </c>
      <c r="J323" s="637"/>
      <c r="K323" s="473"/>
      <c r="L323" s="634" t="s">
        <v>184</v>
      </c>
      <c r="M323" s="635"/>
      <c r="O323" s="634" t="str">
        <f>A138</f>
        <v>p29-1G 51F36</v>
      </c>
      <c r="P323" s="635"/>
      <c r="R323" s="634" t="s">
        <v>184</v>
      </c>
      <c r="S323" s="635"/>
    </row>
    <row r="324" spans="1:19" x14ac:dyDescent="0.2">
      <c r="A324" s="398" t="str">
        <v xml:space="preserve"> </v>
      </c>
      <c r="C324" s="634" t="str">
        <f>A61</f>
        <v>H2O 2.0L 1000g 6bar</v>
      </c>
      <c r="D324" s="635"/>
      <c r="F324" s="634" t="s">
        <v>184</v>
      </c>
      <c r="G324" s="635"/>
      <c r="H324" s="473"/>
      <c r="I324" s="636" t="s">
        <v>184</v>
      </c>
      <c r="J324" s="637"/>
      <c r="K324" s="473"/>
      <c r="L324" s="634" t="str">
        <f>A92</f>
        <v>Klima D9-7</v>
      </c>
      <c r="M324" s="635"/>
      <c r="O324" s="634" t="str">
        <f>A143</f>
        <v>p29-1G 55F29</v>
      </c>
      <c r="P324" s="635"/>
      <c r="R324" s="634" t="s">
        <v>184</v>
      </c>
      <c r="S324" s="635"/>
    </row>
    <row r="325" spans="1:19" x14ac:dyDescent="0.2">
      <c r="A325" s="398" t="str">
        <v xml:space="preserve"> </v>
      </c>
      <c r="C325" s="634" t="s">
        <v>184</v>
      </c>
      <c r="D325" s="635"/>
      <c r="F325" s="634" t="s">
        <v>184</v>
      </c>
      <c r="G325" s="635"/>
      <c r="H325" s="473"/>
      <c r="I325" s="636" t="s">
        <v>184</v>
      </c>
      <c r="J325" s="637"/>
      <c r="K325" s="473"/>
      <c r="L325" s="634" t="str">
        <f>A97</f>
        <v>Klima D9-7 x2</v>
      </c>
      <c r="M325" s="635"/>
      <c r="O325" s="634" t="str">
        <f>A153</f>
        <v>p29-1G 56F120</v>
      </c>
      <c r="P325" s="635"/>
      <c r="R325" s="634" t="s">
        <v>184</v>
      </c>
      <c r="S325" s="635"/>
    </row>
    <row r="326" spans="1:19" x14ac:dyDescent="0.2">
      <c r="A326" s="398" t="str">
        <v xml:space="preserve"> </v>
      </c>
      <c r="C326" s="634" t="s">
        <v>184</v>
      </c>
      <c r="D326" s="635"/>
      <c r="F326" s="634" t="s">
        <v>184</v>
      </c>
      <c r="G326" s="635"/>
      <c r="H326" s="473"/>
      <c r="I326" s="636" t="s">
        <v>184</v>
      </c>
      <c r="J326" s="637"/>
      <c r="K326" s="473"/>
      <c r="L326" s="634" t="str">
        <f>A102</f>
        <v>Klima D9-7 x3</v>
      </c>
      <c r="M326" s="635"/>
      <c r="O326" s="634" t="str">
        <f>A158</f>
        <v>p29-1G 57F59</v>
      </c>
      <c r="P326" s="635"/>
      <c r="R326" s="634" t="s">
        <v>184</v>
      </c>
      <c r="S326" s="635"/>
    </row>
    <row r="327" spans="1:19" x14ac:dyDescent="0.2">
      <c r="A327" s="398" t="str">
        <v xml:space="preserve"> </v>
      </c>
      <c r="C327" s="634" t="s">
        <v>184</v>
      </c>
      <c r="D327" s="635"/>
      <c r="F327" s="634" t="s">
        <v>184</v>
      </c>
      <c r="G327" s="635"/>
      <c r="H327" s="473"/>
      <c r="I327" s="636" t="s">
        <v>184</v>
      </c>
      <c r="J327" s="637"/>
      <c r="K327" s="473"/>
      <c r="L327" s="634" t="s">
        <v>184</v>
      </c>
      <c r="M327" s="635"/>
      <c r="O327" s="634" t="str">
        <f>A163</f>
        <v>p24-3G 60F50</v>
      </c>
      <c r="P327" s="635"/>
      <c r="R327" s="634" t="s">
        <v>184</v>
      </c>
      <c r="S327" s="635"/>
    </row>
    <row r="328" spans="1:19" x14ac:dyDescent="0.2">
      <c r="A328" s="398" t="str">
        <v xml:space="preserve"> </v>
      </c>
      <c r="C328" s="634" t="s">
        <v>184</v>
      </c>
      <c r="D328" s="635"/>
      <c r="F328" s="634" t="s">
        <v>184</v>
      </c>
      <c r="G328" s="635"/>
      <c r="H328" s="473"/>
      <c r="I328" s="636" t="s">
        <v>184</v>
      </c>
      <c r="J328" s="637"/>
      <c r="K328" s="473"/>
      <c r="L328" s="634" t="s">
        <v>184</v>
      </c>
      <c r="M328" s="635"/>
      <c r="O328" s="634" t="str">
        <f>A168</f>
        <v>p24-3G 68F79</v>
      </c>
      <c r="P328" s="635"/>
      <c r="R328" s="634" t="s">
        <v>184</v>
      </c>
      <c r="S328" s="635"/>
    </row>
    <row r="329" spans="1:19" x14ac:dyDescent="0.2">
      <c r="A329" s="398" t="str">
        <v xml:space="preserve"> </v>
      </c>
      <c r="C329" s="634" t="s">
        <v>184</v>
      </c>
      <c r="D329" s="635"/>
      <c r="F329" s="634" t="s">
        <v>184</v>
      </c>
      <c r="G329" s="635"/>
      <c r="H329" s="473"/>
      <c r="I329" s="636" t="s">
        <v>184</v>
      </c>
      <c r="J329" s="637"/>
      <c r="K329" s="473"/>
      <c r="L329" s="634" t="s">
        <v>184</v>
      </c>
      <c r="M329" s="635"/>
      <c r="O329" s="634" t="str">
        <f>A173</f>
        <v>p24-3G 68F240</v>
      </c>
      <c r="P329" s="635"/>
      <c r="R329" s="634" t="s">
        <v>184</v>
      </c>
      <c r="S329" s="635"/>
    </row>
    <row r="330" spans="1:19" x14ac:dyDescent="0.2">
      <c r="A330" s="398" t="str">
        <v xml:space="preserve"> </v>
      </c>
      <c r="C330" s="634" t="s">
        <v>184</v>
      </c>
      <c r="D330" s="635"/>
      <c r="F330" s="634" t="s">
        <v>184</v>
      </c>
      <c r="G330" s="635"/>
      <c r="H330" s="473"/>
      <c r="I330" s="636" t="s">
        <v>184</v>
      </c>
      <c r="J330" s="637"/>
      <c r="K330" s="473"/>
      <c r="L330" s="634" t="s">
        <v>184</v>
      </c>
      <c r="M330" s="635"/>
      <c r="O330" s="634" t="str">
        <f>A178</f>
        <v>p24-3G 73F30</v>
      </c>
      <c r="P330" s="635"/>
      <c r="R330" s="634" t="s">
        <v>184</v>
      </c>
      <c r="S330" s="635"/>
    </row>
    <row r="331" spans="1:19" x14ac:dyDescent="0.2">
      <c r="A331" s="398" t="str">
        <v xml:space="preserve"> </v>
      </c>
      <c r="C331" s="634" t="s">
        <v>184</v>
      </c>
      <c r="D331" s="635"/>
      <c r="F331" s="634" t="s">
        <v>184</v>
      </c>
      <c r="G331" s="635"/>
      <c r="H331" s="473"/>
      <c r="I331" s="640" t="s">
        <v>184</v>
      </c>
      <c r="J331" s="641"/>
      <c r="K331" s="473"/>
      <c r="L331" s="634" t="s">
        <v>184</v>
      </c>
      <c r="M331" s="635"/>
      <c r="O331" s="634" t="str">
        <f>A183</f>
        <v>p24-3G 74F85</v>
      </c>
      <c r="P331" s="635"/>
      <c r="R331" s="634" t="s">
        <v>184</v>
      </c>
      <c r="S331" s="635"/>
    </row>
    <row r="332" spans="1:19" x14ac:dyDescent="0.2">
      <c r="A332" s="462" t="str">
        <v xml:space="preserve"> </v>
      </c>
      <c r="C332" s="638" t="s">
        <v>184</v>
      </c>
      <c r="D332" s="639"/>
      <c r="F332" s="638" t="s">
        <v>184</v>
      </c>
      <c r="G332" s="639"/>
      <c r="H332" s="473"/>
      <c r="I332" s="638" t="s">
        <v>184</v>
      </c>
      <c r="J332" s="639"/>
      <c r="K332" s="473"/>
      <c r="L332" s="638" t="s">
        <v>184</v>
      </c>
      <c r="M332" s="639"/>
      <c r="O332" s="634" t="str">
        <f>A188</f>
        <v>p24-3G 75F51</v>
      </c>
      <c r="P332" s="635"/>
      <c r="R332" s="638" t="s">
        <v>184</v>
      </c>
      <c r="S332" s="639"/>
    </row>
    <row r="333" spans="1:19" x14ac:dyDescent="0.2">
      <c r="A333" s="398" t="str">
        <v xml:space="preserve"> </v>
      </c>
      <c r="C333" s="629" t="s">
        <v>184</v>
      </c>
      <c r="D333" s="629"/>
      <c r="F333" s="629" t="s">
        <v>184</v>
      </c>
      <c r="G333" s="629"/>
      <c r="I333" s="631" t="s">
        <v>184</v>
      </c>
      <c r="J333" s="631"/>
      <c r="L333" s="631" t="s">
        <v>184</v>
      </c>
      <c r="M333" s="631"/>
      <c r="O333" s="634" t="str">
        <f>A213</f>
        <v>p29-2G 84G88</v>
      </c>
      <c r="P333" s="635"/>
      <c r="R333" s="643" t="s">
        <v>184</v>
      </c>
      <c r="S333" s="643"/>
    </row>
    <row r="334" spans="1:19" x14ac:dyDescent="0.2">
      <c r="A334" s="398" t="str">
        <v>Isard</v>
      </c>
      <c r="C334" s="630" t="s">
        <v>184</v>
      </c>
      <c r="D334" s="630"/>
      <c r="F334" s="630" t="s">
        <v>184</v>
      </c>
      <c r="G334" s="630"/>
      <c r="I334" s="631" t="s">
        <v>184</v>
      </c>
      <c r="J334" s="631"/>
      <c r="L334" s="631" t="s">
        <v>184</v>
      </c>
      <c r="M334" s="631"/>
      <c r="O334" s="634" t="str">
        <f>A218</f>
        <v>p29-2G 93G80</v>
      </c>
      <c r="P334" s="635"/>
      <c r="R334" s="642" t="str">
        <f>A269</f>
        <v>Isard</v>
      </c>
      <c r="S334" s="642"/>
    </row>
    <row r="335" spans="1:19" x14ac:dyDescent="0.2">
      <c r="A335" s="398" t="str">
        <v>Chamois</v>
      </c>
      <c r="C335" s="630" t="s">
        <v>184</v>
      </c>
      <c r="D335" s="630"/>
      <c r="F335" s="630" t="s">
        <v>184</v>
      </c>
      <c r="G335" s="630"/>
      <c r="I335" s="631" t="s">
        <v>184</v>
      </c>
      <c r="J335" s="631"/>
      <c r="L335" s="631" t="s">
        <v>184</v>
      </c>
      <c r="M335" s="631"/>
      <c r="O335" s="634" t="str">
        <f>A223</f>
        <v>p29-2G 110G250</v>
      </c>
      <c r="P335" s="635"/>
      <c r="R335" s="642" t="str">
        <f>A274</f>
        <v>Chamois</v>
      </c>
      <c r="S335" s="642"/>
    </row>
    <row r="336" spans="1:19" x14ac:dyDescent="0.2">
      <c r="A336" s="398" t="str">
        <v>Pro75-2G</v>
      </c>
      <c r="C336" s="630" t="s">
        <v>184</v>
      </c>
      <c r="D336" s="630"/>
      <c r="F336" s="630" t="s">
        <v>184</v>
      </c>
      <c r="G336" s="630"/>
      <c r="I336" s="631" t="s">
        <v>184</v>
      </c>
      <c r="J336" s="631"/>
      <c r="L336" s="631" t="s">
        <v>184</v>
      </c>
      <c r="M336" s="631"/>
      <c r="O336" s="634" t="str">
        <f>A228</f>
        <v>p29-2G 116G126</v>
      </c>
      <c r="P336" s="635"/>
      <c r="R336" s="642" t="str">
        <f>A284</f>
        <v>Pro75-2G</v>
      </c>
      <c r="S336" s="642"/>
    </row>
    <row r="337" spans="1:19" x14ac:dyDescent="0.2">
      <c r="A337" s="398" t="str">
        <v>Pro98-2G WT</v>
      </c>
      <c r="C337" s="630" t="s">
        <v>184</v>
      </c>
      <c r="D337" s="630"/>
      <c r="F337" s="630" t="s">
        <v>184</v>
      </c>
      <c r="G337" s="630"/>
      <c r="I337" s="631" t="s">
        <v>184</v>
      </c>
      <c r="J337" s="631"/>
      <c r="L337" s="631" t="s">
        <v>184</v>
      </c>
      <c r="M337" s="631"/>
      <c r="O337" s="634" t="str">
        <f>A233</f>
        <v>p29-3G 125G131</v>
      </c>
      <c r="P337" s="635"/>
      <c r="R337" s="642" t="str">
        <f>A294</f>
        <v>Pro98-2G WT</v>
      </c>
      <c r="S337" s="642"/>
    </row>
    <row r="338" spans="1:19" x14ac:dyDescent="0.2">
      <c r="A338" s="398" t="str">
        <v>Pro98-3G WT</v>
      </c>
      <c r="C338" s="630" t="s">
        <v>184</v>
      </c>
      <c r="D338" s="630"/>
      <c r="F338" s="630" t="s">
        <v>184</v>
      </c>
      <c r="G338" s="630"/>
      <c r="I338" s="631" t="s">
        <v>184</v>
      </c>
      <c r="J338" s="631"/>
      <c r="L338" s="631" t="s">
        <v>184</v>
      </c>
      <c r="M338" s="631"/>
      <c r="O338" s="634" t="str">
        <f>A248</f>
        <v>p38-1G 128G185</v>
      </c>
      <c r="P338" s="635"/>
      <c r="R338" s="642" t="str">
        <f>A299</f>
        <v>Pro98-3G WT</v>
      </c>
      <c r="S338" s="642"/>
    </row>
    <row r="339" spans="1:19" x14ac:dyDescent="0.2">
      <c r="A339" s="398" t="str">
        <v>Aucun (2e ét. inerte)</v>
      </c>
      <c r="C339" s="630" t="s">
        <v>184</v>
      </c>
      <c r="D339" s="630"/>
      <c r="F339" s="630" t="s">
        <v>184</v>
      </c>
      <c r="G339" s="630"/>
      <c r="I339" s="631" t="s">
        <v>184</v>
      </c>
      <c r="J339" s="631"/>
      <c r="L339" s="631" t="s">
        <v>184</v>
      </c>
      <c r="M339" s="631"/>
      <c r="O339" s="634" t="str">
        <f>A243</f>
        <v>p38-1G 137G58</v>
      </c>
      <c r="P339" s="635"/>
      <c r="R339" s="642" t="str">
        <f>A309</f>
        <v>Aucun (2e ét. inerte)</v>
      </c>
      <c r="S339" s="642"/>
    </row>
    <row r="340" spans="1:19" x14ac:dyDescent="0.2">
      <c r="A340" s="398" t="str">
        <v xml:space="preserve"> </v>
      </c>
      <c r="C340" s="630" t="s">
        <v>184</v>
      </c>
      <c r="D340" s="630"/>
      <c r="F340" s="630" t="s">
        <v>184</v>
      </c>
      <c r="G340" s="630"/>
      <c r="I340" s="631" t="s">
        <v>184</v>
      </c>
      <c r="J340" s="631"/>
      <c r="L340" s="631" t="s">
        <v>184</v>
      </c>
      <c r="M340" s="631"/>
      <c r="O340" s="634" t="str">
        <f>A253</f>
        <v>p38-1G 141G78</v>
      </c>
      <c r="P340" s="635"/>
      <c r="R340" s="631" t="s">
        <v>184</v>
      </c>
      <c r="S340" s="631"/>
    </row>
    <row r="341" spans="1:19" x14ac:dyDescent="0.2">
      <c r="A341" s="398" t="str">
        <v xml:space="preserve"> </v>
      </c>
      <c r="C341" s="630" t="s">
        <v>184</v>
      </c>
      <c r="D341" s="630"/>
      <c r="F341" s="630" t="s">
        <v>184</v>
      </c>
      <c r="G341" s="630"/>
      <c r="I341" s="630" t="s">
        <v>184</v>
      </c>
      <c r="J341" s="630"/>
      <c r="L341" s="631" t="s">
        <v>184</v>
      </c>
      <c r="M341" s="631"/>
      <c r="O341" s="634" t="str">
        <f>A193</f>
        <v>p24-6G 140G145 PK</v>
      </c>
      <c r="P341" s="635"/>
      <c r="R341" s="630" t="s">
        <v>184</v>
      </c>
      <c r="S341" s="630"/>
    </row>
    <row r="342" spans="1:19" x14ac:dyDescent="0.2">
      <c r="A342" s="398" t="str">
        <v xml:space="preserve"> </v>
      </c>
      <c r="C342" s="630" t="s">
        <v>184</v>
      </c>
      <c r="D342" s="630"/>
      <c r="F342" s="630" t="s">
        <v>184</v>
      </c>
      <c r="G342" s="630"/>
      <c r="I342" s="630" t="s">
        <v>184</v>
      </c>
      <c r="J342" s="630"/>
      <c r="L342" s="631" t="s">
        <v>184</v>
      </c>
      <c r="M342" s="631"/>
      <c r="O342" s="634" t="str">
        <f>A198</f>
        <v>Pandora (Pro24-6G BS)</v>
      </c>
      <c r="P342" s="635"/>
      <c r="R342" s="630" t="s">
        <v>184</v>
      </c>
      <c r="S342" s="630"/>
    </row>
    <row r="343" spans="1:19" x14ac:dyDescent="0.2">
      <c r="A343" s="398" t="str">
        <v xml:space="preserve"> </v>
      </c>
      <c r="C343" s="630" t="s">
        <v>184</v>
      </c>
      <c r="D343" s="630"/>
      <c r="F343" s="630" t="s">
        <v>184</v>
      </c>
      <c r="G343" s="630"/>
      <c r="I343" s="630" t="s">
        <v>184</v>
      </c>
      <c r="J343" s="630"/>
      <c r="L343" s="630" t="s">
        <v>184</v>
      </c>
      <c r="M343" s="630"/>
      <c r="O343" s="636" t="str">
        <f>A203</f>
        <v>p24-6G 142G117 WT</v>
      </c>
      <c r="P343" s="637"/>
      <c r="R343" s="630" t="s">
        <v>184</v>
      </c>
      <c r="S343" s="630"/>
    </row>
    <row r="344" spans="1:19" x14ac:dyDescent="0.2">
      <c r="A344" s="398" t="str">
        <v xml:space="preserve"> </v>
      </c>
      <c r="C344" s="630" t="s">
        <v>184</v>
      </c>
      <c r="D344" s="630"/>
      <c r="F344" s="630" t="s">
        <v>184</v>
      </c>
      <c r="G344" s="630"/>
      <c r="I344" s="630" t="s">
        <v>184</v>
      </c>
      <c r="J344" s="630"/>
      <c r="L344" s="630" t="s">
        <v>184</v>
      </c>
      <c r="M344" s="630"/>
      <c r="O344" s="636" t="str">
        <f>A208</f>
        <v>p24-6G 139G107 DT</v>
      </c>
      <c r="P344" s="637"/>
      <c r="R344" s="630" t="s">
        <v>184</v>
      </c>
      <c r="S344" s="630"/>
    </row>
    <row r="345" spans="1:19" x14ac:dyDescent="0.2">
      <c r="A345" s="398" t="str">
        <v xml:space="preserve"> </v>
      </c>
      <c r="C345" s="630" t="s">
        <v>184</v>
      </c>
      <c r="D345" s="630"/>
      <c r="F345" s="630" t="s">
        <v>184</v>
      </c>
      <c r="G345" s="630"/>
      <c r="I345" s="630" t="s">
        <v>184</v>
      </c>
      <c r="J345" s="630"/>
      <c r="L345" s="630" t="s">
        <v>184</v>
      </c>
      <c r="M345" s="630"/>
      <c r="O345" s="636" t="str">
        <f>A263</f>
        <v>Cariacou</v>
      </c>
      <c r="P345" s="637"/>
      <c r="R345" s="630" t="s">
        <v>184</v>
      </c>
      <c r="S345" s="630"/>
    </row>
    <row r="346" spans="1:19" x14ac:dyDescent="0.2">
      <c r="A346" s="474" t="str">
        <v xml:space="preserve"> </v>
      </c>
      <c r="C346" s="630" t="s">
        <v>184</v>
      </c>
      <c r="D346" s="630"/>
      <c r="F346" s="630" t="s">
        <v>184</v>
      </c>
      <c r="G346" s="630"/>
      <c r="I346" s="630" t="s">
        <v>184</v>
      </c>
      <c r="J346" s="630"/>
      <c r="L346" s="630" t="s">
        <v>184</v>
      </c>
      <c r="M346" s="630"/>
      <c r="O346" s="644" t="str">
        <f>A258</f>
        <v>Wapiti</v>
      </c>
      <c r="P346" s="645"/>
      <c r="R346" s="630" t="s">
        <v>184</v>
      </c>
      <c r="S346" s="630"/>
    </row>
  </sheetData>
  <sheetProtection password="C6AC" sheet="1" objects="1" scenarios="1"/>
  <dataConsolidate/>
  <mergeCells count="186">
    <mergeCell ref="R346:S346"/>
    <mergeCell ref="R342:S342"/>
    <mergeCell ref="F342:G342"/>
    <mergeCell ref="F343:G343"/>
    <mergeCell ref="F344:G344"/>
    <mergeCell ref="F345:G345"/>
    <mergeCell ref="F346:G346"/>
    <mergeCell ref="O346:P346"/>
    <mergeCell ref="L345:M345"/>
    <mergeCell ref="L346:M346"/>
    <mergeCell ref="I344:J344"/>
    <mergeCell ref="I346:J346"/>
    <mergeCell ref="I345:J345"/>
    <mergeCell ref="R340:S340"/>
    <mergeCell ref="R341:S341"/>
    <mergeCell ref="R343:S343"/>
    <mergeCell ref="R344:S344"/>
    <mergeCell ref="R345:S345"/>
    <mergeCell ref="O345:P345"/>
    <mergeCell ref="O340:P340"/>
    <mergeCell ref="R339:S339"/>
    <mergeCell ref="F332:G332"/>
    <mergeCell ref="O343:P343"/>
    <mergeCell ref="R338:S338"/>
    <mergeCell ref="R336:S336"/>
    <mergeCell ref="R337:S337"/>
    <mergeCell ref="R334:S334"/>
    <mergeCell ref="F341:G341"/>
    <mergeCell ref="O342:P342"/>
    <mergeCell ref="O335:P335"/>
    <mergeCell ref="O334:P334"/>
    <mergeCell ref="O339:P339"/>
    <mergeCell ref="O344:P344"/>
    <mergeCell ref="R335:S335"/>
    <mergeCell ref="R333:S333"/>
    <mergeCell ref="I337:J337"/>
    <mergeCell ref="I338:J338"/>
    <mergeCell ref="F336:G336"/>
    <mergeCell ref="F337:G337"/>
    <mergeCell ref="O327:P327"/>
    <mergeCell ref="O333:P333"/>
    <mergeCell ref="L328:M328"/>
    <mergeCell ref="I336:J336"/>
    <mergeCell ref="O332:P332"/>
    <mergeCell ref="L333:M333"/>
    <mergeCell ref="I341:J341"/>
    <mergeCell ref="O337:P337"/>
    <mergeCell ref="F339:G339"/>
    <mergeCell ref="F340:G340"/>
    <mergeCell ref="O338:P338"/>
    <mergeCell ref="O336:P336"/>
    <mergeCell ref="I328:J328"/>
    <mergeCell ref="I329:J329"/>
    <mergeCell ref="I330:J330"/>
    <mergeCell ref="I331:J331"/>
    <mergeCell ref="I335:J335"/>
    <mergeCell ref="L337:M337"/>
    <mergeCell ref="O341:P341"/>
    <mergeCell ref="L334:M334"/>
    <mergeCell ref="F329:G329"/>
    <mergeCell ref="F330:G330"/>
    <mergeCell ref="F331:G331"/>
    <mergeCell ref="F324:G324"/>
    <mergeCell ref="F321:G321"/>
    <mergeCell ref="F320:G320"/>
    <mergeCell ref="O323:P323"/>
    <mergeCell ref="O320:P320"/>
    <mergeCell ref="O319:P319"/>
    <mergeCell ref="O324:P324"/>
    <mergeCell ref="F319:G319"/>
    <mergeCell ref="O322:P322"/>
    <mergeCell ref="I320:J320"/>
    <mergeCell ref="L319:M319"/>
    <mergeCell ref="L326:M326"/>
    <mergeCell ref="L327:M327"/>
    <mergeCell ref="L321:M321"/>
    <mergeCell ref="L322:M322"/>
    <mergeCell ref="O325:P325"/>
    <mergeCell ref="O330:P330"/>
    <mergeCell ref="F327:G327"/>
    <mergeCell ref="F326:G326"/>
    <mergeCell ref="L316:M316"/>
    <mergeCell ref="C327:D327"/>
    <mergeCell ref="C326:D326"/>
    <mergeCell ref="C325:D325"/>
    <mergeCell ref="C324:D324"/>
    <mergeCell ref="C323:D323"/>
    <mergeCell ref="C322:D322"/>
    <mergeCell ref="O316:P316"/>
    <mergeCell ref="F318:G318"/>
    <mergeCell ref="F317:G317"/>
    <mergeCell ref="O318:P318"/>
    <mergeCell ref="O317:P317"/>
    <mergeCell ref="L318:M318"/>
    <mergeCell ref="C316:D316"/>
    <mergeCell ref="C317:D317"/>
    <mergeCell ref="C318:D318"/>
    <mergeCell ref="C319:D319"/>
    <mergeCell ref="C320:D320"/>
    <mergeCell ref="F316:G316"/>
    <mergeCell ref="L320:M320"/>
    <mergeCell ref="I316:J316"/>
    <mergeCell ref="I317:J317"/>
    <mergeCell ref="I318:J318"/>
    <mergeCell ref="I319:J319"/>
    <mergeCell ref="L317:M317"/>
    <mergeCell ref="C332:D332"/>
    <mergeCell ref="R322:S322"/>
    <mergeCell ref="R328:S328"/>
    <mergeCell ref="R332:S332"/>
    <mergeCell ref="F328:G328"/>
    <mergeCell ref="F322:G322"/>
    <mergeCell ref="O326:P326"/>
    <mergeCell ref="F323:G323"/>
    <mergeCell ref="O331:P331"/>
    <mergeCell ref="R330:S330"/>
    <mergeCell ref="R329:S329"/>
    <mergeCell ref="O329:P329"/>
    <mergeCell ref="R331:S331"/>
    <mergeCell ref="L331:M331"/>
    <mergeCell ref="L332:M332"/>
    <mergeCell ref="L329:M329"/>
    <mergeCell ref="L330:M330"/>
    <mergeCell ref="L325:M325"/>
    <mergeCell ref="C329:D329"/>
    <mergeCell ref="C330:D330"/>
    <mergeCell ref="I332:J332"/>
    <mergeCell ref="C331:D331"/>
    <mergeCell ref="F325:G325"/>
    <mergeCell ref="R316:S316"/>
    <mergeCell ref="R317:S317"/>
    <mergeCell ref="R318:S318"/>
    <mergeCell ref="R319:S319"/>
    <mergeCell ref="R320:S320"/>
    <mergeCell ref="C328:D328"/>
    <mergeCell ref="O328:P328"/>
    <mergeCell ref="R327:S327"/>
    <mergeCell ref="R326:S326"/>
    <mergeCell ref="C321:D321"/>
    <mergeCell ref="O321:P321"/>
    <mergeCell ref="R321:S321"/>
    <mergeCell ref="R325:S325"/>
    <mergeCell ref="R324:S324"/>
    <mergeCell ref="R323:S323"/>
    <mergeCell ref="I321:J321"/>
    <mergeCell ref="I322:J322"/>
    <mergeCell ref="I323:J323"/>
    <mergeCell ref="I324:J324"/>
    <mergeCell ref="I325:J325"/>
    <mergeCell ref="I326:J326"/>
    <mergeCell ref="I327:J327"/>
    <mergeCell ref="L323:M323"/>
    <mergeCell ref="L324:M324"/>
    <mergeCell ref="C345:D345"/>
    <mergeCell ref="C346:D346"/>
    <mergeCell ref="C335:D335"/>
    <mergeCell ref="C336:D336"/>
    <mergeCell ref="C337:D337"/>
    <mergeCell ref="C338:D338"/>
    <mergeCell ref="C339:D339"/>
    <mergeCell ref="C340:D340"/>
    <mergeCell ref="C334:D334"/>
    <mergeCell ref="C333:D333"/>
    <mergeCell ref="L343:M343"/>
    <mergeCell ref="L344:M344"/>
    <mergeCell ref="F338:G338"/>
    <mergeCell ref="C341:D341"/>
    <mergeCell ref="C342:D342"/>
    <mergeCell ref="C343:D343"/>
    <mergeCell ref="I342:J342"/>
    <mergeCell ref="I343:J343"/>
    <mergeCell ref="L341:M341"/>
    <mergeCell ref="L342:M342"/>
    <mergeCell ref="C344:D344"/>
    <mergeCell ref="L338:M338"/>
    <mergeCell ref="F333:G333"/>
    <mergeCell ref="L335:M335"/>
    <mergeCell ref="L336:M336"/>
    <mergeCell ref="I333:J333"/>
    <mergeCell ref="I334:J334"/>
    <mergeCell ref="L339:M339"/>
    <mergeCell ref="L340:M340"/>
    <mergeCell ref="I340:J340"/>
    <mergeCell ref="I339:J339"/>
    <mergeCell ref="F334:G334"/>
    <mergeCell ref="F335:G335"/>
  </mergeCells>
  <phoneticPr fontId="8" type="noConversion"/>
  <pageMargins left="0.39370078740157483" right="0.39370078740157483" top="0.39370078740157483" bottom="0.39370078740157483" header="0" footer="0"/>
  <pageSetup scale="44" firstPageNumber="0" fitToHeight="3" orientation="landscape" horizontalDpi="300" verticalDpi="300" r:id="rId1"/>
  <headerFooter alignWithMargins="0"/>
  <ignoredErrors>
    <ignoredError sqref="R317:S318 C317:D324 F317:G321 O322:P339 O342:P342 R334:S339 O340:O341 O317:P319 O320:P321 P341 M324" unlocked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4">
    <pageSetUpPr fitToPage="1"/>
  </sheetPr>
  <dimension ref="A1:IN1075"/>
  <sheetViews>
    <sheetView showGridLines="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B219" sqref="B219"/>
    </sheetView>
  </sheetViews>
  <sheetFormatPr baseColWidth="10" defaultColWidth="11.42578125" defaultRowHeight="12.75" x14ac:dyDescent="0.2"/>
  <cols>
    <col min="1" max="1" width="4.42578125" style="7" bestFit="1" customWidth="1"/>
    <col min="2" max="2" width="6" style="7" bestFit="1" customWidth="1"/>
    <col min="3" max="3" width="1.42578125" style="8" customWidth="1"/>
    <col min="4" max="4" width="7.140625" style="7" customWidth="1"/>
    <col min="5" max="6" width="7.42578125" style="7" customWidth="1"/>
    <col min="7" max="7" width="7.140625" style="7" customWidth="1"/>
    <col min="8" max="8" width="7.42578125" style="7" customWidth="1"/>
    <col min="9" max="9" width="7.140625" style="7" customWidth="1"/>
    <col min="10" max="12" width="7.42578125" style="7" bestFit="1" customWidth="1"/>
    <col min="13" max="13" width="5.7109375" style="7" customWidth="1"/>
    <col min="14" max="14" width="6.42578125" style="7" customWidth="1"/>
    <col min="15" max="15" width="1.42578125" style="8" customWidth="1"/>
    <col min="16" max="16" width="4" style="7" customWidth="1"/>
    <col min="17" max="17" width="8.42578125" style="7" customWidth="1"/>
    <col min="18" max="18" width="5.7109375" style="7" customWidth="1"/>
    <col min="19" max="19" width="5.28515625" style="7" customWidth="1"/>
    <col min="20" max="20" width="6" style="7" customWidth="1"/>
    <col min="21" max="21" width="8.7109375" style="7" customWidth="1"/>
    <col min="22" max="22" width="6.7109375" style="7" customWidth="1"/>
    <col min="23" max="23" width="7.140625" style="7" customWidth="1"/>
    <col min="24" max="24" width="1.42578125" style="8" customWidth="1"/>
    <col min="25" max="25" width="15.7109375" style="7" customWidth="1"/>
    <col min="26" max="26" width="5.7109375" style="7" customWidth="1"/>
    <col min="27" max="27" width="7.7109375" style="7" customWidth="1"/>
    <col min="28" max="28" width="1.42578125" style="7" customWidth="1"/>
    <col min="29" max="29" width="7.28515625" style="7" bestFit="1" customWidth="1"/>
    <col min="30" max="31" width="6.7109375" style="7" bestFit="1" customWidth="1"/>
    <col min="32" max="32" width="1.85546875" style="7" customWidth="1"/>
    <col min="33" max="238" width="11.42578125" style="7" customWidth="1"/>
    <col min="239" max="239" width="11" style="7" customWidth="1"/>
  </cols>
  <sheetData>
    <row r="1" spans="1:248" ht="13.5" thickBot="1" x14ac:dyDescent="0.25">
      <c r="D1" s="646" t="s">
        <v>266</v>
      </c>
      <c r="E1" s="647"/>
      <c r="F1" s="647"/>
      <c r="G1" s="647"/>
      <c r="H1" s="647"/>
      <c r="I1" s="647"/>
      <c r="J1" s="647"/>
      <c r="K1" s="647"/>
      <c r="L1" s="647"/>
      <c r="M1" s="647"/>
      <c r="N1" s="648"/>
      <c r="P1" s="646" t="s">
        <v>17</v>
      </c>
      <c r="Q1" s="647"/>
      <c r="R1" s="647"/>
      <c r="S1" s="647"/>
      <c r="T1" s="647"/>
      <c r="U1" s="647"/>
      <c r="V1" s="647"/>
      <c r="W1" s="648"/>
      <c r="Y1" s="9"/>
      <c r="Z1" s="9"/>
      <c r="AA1" s="9"/>
      <c r="AC1" s="653" t="s">
        <v>186</v>
      </c>
      <c r="AD1" s="653"/>
      <c r="AE1" s="653"/>
      <c r="AG1" s="649" t="s">
        <v>18</v>
      </c>
      <c r="AH1" s="649"/>
    </row>
    <row r="2" spans="1:248" s="12" customFormat="1" x14ac:dyDescent="0.2">
      <c r="A2" s="330" t="s">
        <v>19</v>
      </c>
      <c r="B2" s="331" t="s">
        <v>2</v>
      </c>
      <c r="C2" s="10"/>
      <c r="D2" s="334" t="s">
        <v>193</v>
      </c>
      <c r="E2" s="335" t="s">
        <v>194</v>
      </c>
      <c r="F2" s="331" t="s">
        <v>195</v>
      </c>
      <c r="G2" s="334" t="s">
        <v>190</v>
      </c>
      <c r="H2" s="335" t="s">
        <v>191</v>
      </c>
      <c r="I2" s="331" t="s">
        <v>192</v>
      </c>
      <c r="J2" s="334" t="s">
        <v>187</v>
      </c>
      <c r="K2" s="335" t="s">
        <v>188</v>
      </c>
      <c r="L2" s="331" t="s">
        <v>189</v>
      </c>
      <c r="M2" s="330" t="s">
        <v>20</v>
      </c>
      <c r="N2" s="331" t="s">
        <v>21</v>
      </c>
      <c r="O2" s="10"/>
      <c r="P2" s="330" t="s">
        <v>26</v>
      </c>
      <c r="Q2" s="331" t="s">
        <v>25</v>
      </c>
      <c r="R2" s="330" t="s">
        <v>22</v>
      </c>
      <c r="S2" s="335" t="s">
        <v>39</v>
      </c>
      <c r="T2" s="331" t="s">
        <v>27</v>
      </c>
      <c r="U2" s="338" t="s">
        <v>28</v>
      </c>
      <c r="V2" s="330" t="s">
        <v>24</v>
      </c>
      <c r="W2" s="331" t="s">
        <v>23</v>
      </c>
      <c r="X2" s="11"/>
      <c r="Y2" s="650" t="s">
        <v>185</v>
      </c>
      <c r="Z2" s="651"/>
      <c r="AA2" s="652"/>
      <c r="AC2" s="330" t="s">
        <v>11</v>
      </c>
      <c r="AD2" s="335" t="s">
        <v>3</v>
      </c>
      <c r="AE2" s="331" t="s">
        <v>29</v>
      </c>
      <c r="AG2" s="345" t="s">
        <v>31</v>
      </c>
      <c r="AH2" s="346" t="s">
        <v>30</v>
      </c>
      <c r="IF2"/>
      <c r="IG2"/>
      <c r="IH2"/>
      <c r="II2"/>
      <c r="IJ2"/>
      <c r="IK2"/>
      <c r="IL2"/>
      <c r="IM2"/>
      <c r="IN2"/>
    </row>
    <row r="3" spans="1:248" s="12" customFormat="1" x14ac:dyDescent="0.2">
      <c r="A3" s="332" t="s">
        <v>154</v>
      </c>
      <c r="B3" s="333" t="s">
        <v>154</v>
      </c>
      <c r="C3" s="10"/>
      <c r="D3" s="336" t="s">
        <v>7</v>
      </c>
      <c r="E3" s="337" t="s">
        <v>7</v>
      </c>
      <c r="F3" s="333" t="s">
        <v>7</v>
      </c>
      <c r="G3" s="336" t="s">
        <v>155</v>
      </c>
      <c r="H3" s="337" t="s">
        <v>155</v>
      </c>
      <c r="I3" s="333" t="s">
        <v>155</v>
      </c>
      <c r="J3" s="336" t="s">
        <v>39</v>
      </c>
      <c r="K3" s="337" t="s">
        <v>39</v>
      </c>
      <c r="L3" s="333" t="s">
        <v>39</v>
      </c>
      <c r="M3" s="332" t="s">
        <v>244</v>
      </c>
      <c r="N3" s="333" t="s">
        <v>156</v>
      </c>
      <c r="O3" s="10"/>
      <c r="P3" s="336" t="s">
        <v>14</v>
      </c>
      <c r="Q3" s="339" t="s">
        <v>227</v>
      </c>
      <c r="R3" s="336" t="s">
        <v>245</v>
      </c>
      <c r="S3" s="340" t="s">
        <v>228</v>
      </c>
      <c r="T3" s="339" t="s">
        <v>227</v>
      </c>
      <c r="U3" s="341" t="s">
        <v>227</v>
      </c>
      <c r="V3" s="336" t="s">
        <v>8</v>
      </c>
      <c r="W3" s="339" t="s">
        <v>227</v>
      </c>
      <c r="X3" s="11"/>
      <c r="Y3" s="342"/>
      <c r="Z3" s="343"/>
      <c r="AA3" s="344"/>
      <c r="AC3" s="336" t="s">
        <v>154</v>
      </c>
      <c r="AD3" s="340" t="s">
        <v>39</v>
      </c>
      <c r="AE3" s="339" t="s">
        <v>39</v>
      </c>
      <c r="AG3" s="342" t="s">
        <v>7</v>
      </c>
      <c r="AH3" s="339" t="s">
        <v>7</v>
      </c>
      <c r="IF3"/>
      <c r="IG3"/>
      <c r="IH3"/>
      <c r="II3"/>
      <c r="IJ3"/>
      <c r="IK3"/>
      <c r="IL3"/>
      <c r="IM3"/>
      <c r="IN3"/>
    </row>
    <row r="4" spans="1:248" x14ac:dyDescent="0.2">
      <c r="A4" s="292" t="s">
        <v>14</v>
      </c>
      <c r="B4" s="349">
        <f>T_ini</f>
        <v>0</v>
      </c>
      <c r="D4" s="292" t="s">
        <v>14</v>
      </c>
      <c r="E4" s="293" t="s">
        <v>14</v>
      </c>
      <c r="F4" s="294" t="s">
        <v>14</v>
      </c>
      <c r="G4" s="292">
        <f>vit_xz*COS(Beta)</f>
        <v>0</v>
      </c>
      <c r="H4" s="293">
        <f>vit_xz*SIN(Beta)</f>
        <v>0</v>
      </c>
      <c r="I4" s="349">
        <f>V_ini</f>
        <v>0</v>
      </c>
      <c r="J4" s="350">
        <f>X_ini</f>
        <v>0</v>
      </c>
      <c r="K4" s="351">
        <f>Z_ini</f>
        <v>0</v>
      </c>
      <c r="L4" s="327">
        <f t="shared" ref="L4:L67" si="0">SQRT(pos_x^2+pos_z^2)</f>
        <v>0</v>
      </c>
      <c r="M4" s="292">
        <f>RADIANS(N4)</f>
        <v>1.4835298641951802</v>
      </c>
      <c r="N4" s="349">
        <f>Beta_rampe</f>
        <v>85</v>
      </c>
      <c r="P4" s="292" t="s">
        <v>14</v>
      </c>
      <c r="Q4" s="294" t="s">
        <v>14</v>
      </c>
      <c r="R4" s="292" t="s">
        <v>14</v>
      </c>
      <c r="S4" s="351">
        <f ca="1">m_tot</f>
        <v>7.8849999999999998</v>
      </c>
      <c r="T4" s="327">
        <f t="shared" ref="T4:T67" ca="1" si="1">m*g</f>
        <v>77.351849999999999</v>
      </c>
      <c r="U4" s="328">
        <f t="shared" ref="U4:U67" ca="1" si="2">IF(pos_xz&lt;L_rampe,Poids*COS(Beta),0)</f>
        <v>6.7416579396554397</v>
      </c>
      <c r="V4" s="329">
        <f t="shared" ref="V4:V67" si="3">Rho_moyen*(20000-Alt_rampe-pos_z)/(20000+Alt_rampe+pos_z)</f>
        <v>1.2250000000000001</v>
      </c>
      <c r="W4" s="327">
        <f t="shared" ref="W4:W67" si="4">1/2*Rho*Sref*Cx*vit_xz^2</f>
        <v>0</v>
      </c>
      <c r="Y4" s="295" t="s">
        <v>14</v>
      </c>
      <c r="Z4" s="296" t="s">
        <v>14</v>
      </c>
      <c r="AA4" s="297" t="s">
        <v>14</v>
      </c>
      <c r="AC4" s="320">
        <f>IF(ABS(t-ROUND(t,0))&lt;0.001,t,-1)</f>
        <v>0</v>
      </c>
      <c r="AD4" s="321">
        <f>IF(ABS(t-ROUND(t,0))&lt;0.001,pos_x,-1)</f>
        <v>0</v>
      </c>
      <c r="AE4" s="322">
        <f t="shared" ref="AE4:AE67" si="5">IF(t&lt;T_para, pos_z, NA())</f>
        <v>0</v>
      </c>
      <c r="AG4" s="292" t="s">
        <v>14</v>
      </c>
      <c r="AH4" s="294" t="s">
        <v>14</v>
      </c>
    </row>
    <row r="5" spans="1:248" x14ac:dyDescent="0.2">
      <c r="A5" s="347">
        <f t="shared" ref="A5:A68" ca="1" si="6">IF(B4+0.01&lt;=T_ini+ROUNDUP(Temps_fin_propu,0), 0.01, IF(K4&gt;0, 0.1, 0.0001))</f>
        <v>0.01</v>
      </c>
      <c r="B5" s="304">
        <f t="shared" ref="B5:B68" ca="1" si="7">B4+pas</f>
        <v>0.01</v>
      </c>
      <c r="D5" s="306">
        <f t="shared" ref="D5:D68" ca="1" si="8">IF(AND(L4&lt;L_rampe,Poussee&lt;Poids*SIN(M4)),0,(-W4+Poussee)/m*COS(M4)-U4/m*SIN(M4))</f>
        <v>0.13532841847216848</v>
      </c>
      <c r="E5" s="307">
        <f t="shared" ref="E5:E68" ca="1" si="9">IF(AND(L4&lt;L_rampe,Poussee&lt;Poids*SIN(M4)),0,(-W4+Poussee)/m*SIN(M4)+U4/m*COS(M4)-Poids/m)</f>
        <v>1.5473684980616884</v>
      </c>
      <c r="F5" s="304">
        <f t="shared" ref="F5:F68" ca="1" si="10">SQRT(acc_x^2+acc_z^2)</f>
        <v>1.5532749433502957</v>
      </c>
      <c r="G5" s="306">
        <f t="shared" ref="G5:G68" ca="1" si="11">G4+acc_x*pas</f>
        <v>1.3532841847216847E-3</v>
      </c>
      <c r="H5" s="307">
        <f t="shared" ref="H5:H68" ca="1" si="12">H4+acc_z*pas</f>
        <v>1.5473684980616884E-2</v>
      </c>
      <c r="I5" s="304">
        <f t="shared" ref="I5:I68" ca="1" si="13">SQRT(vit_x^2+vit_z^2)</f>
        <v>1.5532749433502956E-2</v>
      </c>
      <c r="J5" s="306">
        <f t="shared" ref="J5:J68" ca="1" si="14">J4+0.5*(vit_x+G4)*pas*(K4&gt;=0)</f>
        <v>6.7664209236084237E-6</v>
      </c>
      <c r="K5" s="307">
        <f t="shared" ref="K5:K68" ca="1" si="15">K4+0.5*(vit_z+H4)*pas</f>
        <v>7.7368424903084419E-5</v>
      </c>
      <c r="L5" s="304">
        <f t="shared" ca="1" si="0"/>
        <v>7.7663747167514767E-5</v>
      </c>
      <c r="M5" s="306">
        <f t="shared" ref="M5:M68" ca="1" si="16">IF(AND(L4&gt;L_rampe,G5&gt;0),ATAN2(G5,H5),$M$4)</f>
        <v>1.4835298641951802</v>
      </c>
      <c r="N5" s="304">
        <f t="shared" ref="N5:N68" ca="1" si="17">DEGREES(Beta)</f>
        <v>85</v>
      </c>
      <c r="P5" s="310">
        <f t="shared" ref="P5:P68" ca="1" si="18">MATCH(t-pas/2-T_ini,CdP_t)</f>
        <v>1</v>
      </c>
      <c r="Q5" s="304">
        <f t="shared" ref="Q5:Q68" ca="1" si="19">(INDEX(CdP,2,i_P+1)-INDEX(CdP,2,i_P+0))/(INDEX(CdP,1,i_P+1)-INDEX(CdP,1,i_P+0))*(t-pas/2-T_ini-INDEX(CdP,1,i_P+0))+INDEX(CdP,2,i_P+0)</f>
        <v>89.3</v>
      </c>
      <c r="R5" s="306">
        <f t="shared" ref="R5:R68" ca="1" si="20">Poussee/(g*ISP)</f>
        <v>4.4815509359347437E-2</v>
      </c>
      <c r="S5" s="307">
        <f t="shared" ref="S5:S68" ca="1" si="21">S4-Débit*pas</f>
        <v>7.8845518449064063</v>
      </c>
      <c r="T5" s="304">
        <f t="shared" ca="1" si="1"/>
        <v>77.347453598531843</v>
      </c>
      <c r="U5" s="311">
        <f t="shared" ca="1" si="2"/>
        <v>6.741274768020066</v>
      </c>
      <c r="V5" s="306">
        <f t="shared" ca="1" si="3"/>
        <v>1.2249999905223681</v>
      </c>
      <c r="W5" s="304">
        <f t="shared" ca="1" si="4"/>
        <v>7.4293202111515256E-7</v>
      </c>
      <c r="Y5" s="314" t="str">
        <f t="shared" ref="Y5:Y68" ca="1" si="22">IF(AND(pos_z&lt;=0,K4&gt;0),"Impact balistique","") &amp; IF(AND(H6&lt;0,vit_z&gt;=0),"Apogée","") &amp; IF(AND(Poussee=0,Q4&gt;0),"Fin de propulsion","") &amp; IF(AND(L6&gt;L_rampe,pos_xz&lt;=L_rampe),"Sortie de rampe","")</f>
        <v/>
      </c>
      <c r="Z5" s="315" t="str">
        <f t="shared" ref="Z5:Z68" ca="1" si="23">IF(ABS(t-T_para)&lt;pas/2,"Para","")</f>
        <v/>
      </c>
      <c r="AA5" s="316" t="str">
        <f t="shared" ref="AA5:AA68" ca="1" si="24">IF(ABS(t-T_satellite)&lt;pas/2,"Satellite","")</f>
        <v/>
      </c>
      <c r="AC5" s="310" t="e">
        <f t="shared" ref="AC5:AC68" ca="1" si="25">IF(ABS(t-ROUND(t,0))&lt;0.001,t,NA())</f>
        <v>#N/A</v>
      </c>
      <c r="AD5" s="323" t="e">
        <f t="shared" ref="AD5:AD68" ca="1" si="26">IF(ABS(t-ROUND(t,0))&lt;0.001,pos_x,NA())</f>
        <v>#N/A</v>
      </c>
      <c r="AE5" s="324">
        <f t="shared" ca="1" si="5"/>
        <v>7.7368424903084419E-5</v>
      </c>
      <c r="AG5" s="306">
        <f t="shared" ref="AG5:AG68" ca="1" si="27">IF(AND(L4&lt;L_rampe,Poussee&lt;Poids*SIN(M4)),0,(-W4+Poussee)/m-Poids*SIN(M4)/m)</f>
        <v>1.5532749425900505</v>
      </c>
      <c r="AH5" s="304">
        <f t="shared" ref="AH5:AH68" ca="1" si="28">IF(AND(L4&lt;L_rampe,Poussee&lt;Poids*SIN(M4)), g*SIN(M4), (-W4+Poussee)/m)</f>
        <v>11.325944930870074</v>
      </c>
    </row>
    <row r="6" spans="1:248" x14ac:dyDescent="0.2">
      <c r="A6" s="347">
        <f t="shared" ca="1" si="6"/>
        <v>0.01</v>
      </c>
      <c r="B6" s="304">
        <f t="shared" ca="1" si="7"/>
        <v>0.02</v>
      </c>
      <c r="D6" s="306">
        <f t="shared" ca="1" si="8"/>
        <v>2.1099788999659039</v>
      </c>
      <c r="E6" s="307">
        <f t="shared" ca="1" si="9"/>
        <v>24.118842260248719</v>
      </c>
      <c r="F6" s="304">
        <f t="shared" ca="1" si="10"/>
        <v>24.210959562418438</v>
      </c>
      <c r="G6" s="306">
        <f t="shared" ca="1" si="11"/>
        <v>2.2453073184380726E-2</v>
      </c>
      <c r="H6" s="307">
        <f t="shared" ca="1" si="12"/>
        <v>0.25666210758310409</v>
      </c>
      <c r="I6" s="304">
        <f t="shared" ca="1" si="13"/>
        <v>0.25764234505302902</v>
      </c>
      <c r="J6" s="306">
        <f t="shared" ca="1" si="14"/>
        <v>1.2579820776912048E-4</v>
      </c>
      <c r="K6" s="307">
        <f t="shared" ca="1" si="15"/>
        <v>1.4380473877216894E-3</v>
      </c>
      <c r="L6" s="304">
        <f t="shared" ca="1" si="0"/>
        <v>1.4435392195611097E-3</v>
      </c>
      <c r="M6" s="306">
        <f t="shared" ca="1" si="16"/>
        <v>1.4835298641951802</v>
      </c>
      <c r="N6" s="304">
        <f t="shared" ca="1" si="17"/>
        <v>85</v>
      </c>
      <c r="P6" s="310">
        <f t="shared" ca="1" si="18"/>
        <v>1</v>
      </c>
      <c r="Q6" s="304">
        <f t="shared" ca="1" si="19"/>
        <v>267.89999999999998</v>
      </c>
      <c r="R6" s="306">
        <f t="shared" ca="1" si="20"/>
        <v>0.1344465280780423</v>
      </c>
      <c r="S6" s="307">
        <f t="shared" ca="1" si="21"/>
        <v>7.8832073796256257</v>
      </c>
      <c r="T6" s="304">
        <f t="shared" ca="1" si="1"/>
        <v>77.334264394127388</v>
      </c>
      <c r="U6" s="311">
        <f t="shared" ca="1" si="2"/>
        <v>6.7401252531139448</v>
      </c>
      <c r="V6" s="306">
        <f t="shared" ca="1" si="3"/>
        <v>1.2249998238392077</v>
      </c>
      <c r="W6" s="304">
        <f t="shared" ca="1" si="4"/>
        <v>2.0440279596847935E-4</v>
      </c>
      <c r="Y6" s="314" t="str">
        <f t="shared" ca="1" si="22"/>
        <v/>
      </c>
      <c r="Z6" s="315" t="str">
        <f t="shared" ca="1" si="23"/>
        <v/>
      </c>
      <c r="AA6" s="316" t="str">
        <f t="shared" ca="1" si="24"/>
        <v/>
      </c>
      <c r="AC6" s="310" t="e">
        <f t="shared" ca="1" si="25"/>
        <v>#N/A</v>
      </c>
      <c r="AD6" s="323" t="e">
        <f t="shared" ca="1" si="26"/>
        <v>#N/A</v>
      </c>
      <c r="AE6" s="324">
        <f t="shared" ca="1" si="5"/>
        <v>1.4380473877216894E-3</v>
      </c>
      <c r="AG6" s="306">
        <f t="shared" ca="1" si="27"/>
        <v>24.21095956197933</v>
      </c>
      <c r="AH6" s="304">
        <f t="shared" ca="1" si="28"/>
        <v>33.983629550259352</v>
      </c>
    </row>
    <row r="7" spans="1:248" x14ac:dyDescent="0.2">
      <c r="A7" s="347">
        <f t="shared" ca="1" si="6"/>
        <v>0.01</v>
      </c>
      <c r="B7" s="304">
        <f t="shared" ca="1" si="7"/>
        <v>0.03</v>
      </c>
      <c r="D7" s="306">
        <f t="shared" ca="1" si="8"/>
        <v>4.0858622930006874</v>
      </c>
      <c r="E7" s="307">
        <f t="shared" ca="1" si="9"/>
        <v>46.704408963573393</v>
      </c>
      <c r="F7" s="304">
        <f t="shared" ca="1" si="10"/>
        <v>46.882790950561798</v>
      </c>
      <c r="G7" s="306">
        <f t="shared" ca="1" si="11"/>
        <v>6.3311696114387597E-2</v>
      </c>
      <c r="H7" s="307">
        <f t="shared" ca="1" si="12"/>
        <v>0.72370619721883811</v>
      </c>
      <c r="I7" s="304">
        <f t="shared" ca="1" si="13"/>
        <v>0.72647025455818381</v>
      </c>
      <c r="J7" s="306">
        <f t="shared" ca="1" si="14"/>
        <v>5.5462205426296202E-4</v>
      </c>
      <c r="K7" s="307">
        <f t="shared" ca="1" si="15"/>
        <v>6.3398889117314006E-3</v>
      </c>
      <c r="L7" s="304">
        <f t="shared" ca="1" si="0"/>
        <v>6.3641022176085154E-3</v>
      </c>
      <c r="M7" s="306">
        <f t="shared" ca="1" si="16"/>
        <v>1.4835298641951802</v>
      </c>
      <c r="N7" s="304">
        <f t="shared" ca="1" si="17"/>
        <v>85</v>
      </c>
      <c r="P7" s="310">
        <f t="shared" ca="1" si="18"/>
        <v>1</v>
      </c>
      <c r="Q7" s="304">
        <f t="shared" ca="1" si="19"/>
        <v>446.49999999999994</v>
      </c>
      <c r="R7" s="306">
        <f t="shared" ca="1" si="20"/>
        <v>0.22407754679673716</v>
      </c>
      <c r="S7" s="307">
        <f t="shared" ca="1" si="21"/>
        <v>7.880966604157658</v>
      </c>
      <c r="T7" s="304">
        <f t="shared" ca="1" si="1"/>
        <v>77.312282386786634</v>
      </c>
      <c r="U7" s="311">
        <f t="shared" ca="1" si="2"/>
        <v>6.7382093949370772</v>
      </c>
      <c r="V7" s="306">
        <f t="shared" ca="1" si="3"/>
        <v>1.2249992233638547</v>
      </c>
      <c r="W7" s="304">
        <f t="shared" ca="1" si="4"/>
        <v>1.6251288711645925E-3</v>
      </c>
      <c r="Y7" s="314" t="str">
        <f t="shared" ca="1" si="22"/>
        <v/>
      </c>
      <c r="Z7" s="315" t="str">
        <f t="shared" ca="1" si="23"/>
        <v/>
      </c>
      <c r="AA7" s="316" t="str">
        <f t="shared" ca="1" si="24"/>
        <v/>
      </c>
      <c r="AC7" s="310" t="e">
        <f t="shared" ca="1" si="25"/>
        <v>#N/A</v>
      </c>
      <c r="AD7" s="323" t="e">
        <f t="shared" ca="1" si="26"/>
        <v>#N/A</v>
      </c>
      <c r="AE7" s="324">
        <f t="shared" ca="1" si="5"/>
        <v>6.3398889117314006E-3</v>
      </c>
      <c r="AG7" s="306">
        <f t="shared" ca="1" si="27"/>
        <v>46.882790949931533</v>
      </c>
      <c r="AH7" s="304">
        <f t="shared" ca="1" si="28"/>
        <v>56.655460938211554</v>
      </c>
    </row>
    <row r="8" spans="1:248" x14ac:dyDescent="0.2">
      <c r="A8" s="347">
        <f t="shared" ca="1" si="6"/>
        <v>0.01</v>
      </c>
      <c r="B8" s="304">
        <f t="shared" ca="1" si="7"/>
        <v>0.04</v>
      </c>
      <c r="D8" s="306">
        <f t="shared" ca="1" si="8"/>
        <v>6.0636428557112581</v>
      </c>
      <c r="E8" s="307">
        <f t="shared" ca="1" si="9"/>
        <v>69.311661494837011</v>
      </c>
      <c r="F8" s="304">
        <f t="shared" ca="1" si="10"/>
        <v>69.576390994765532</v>
      </c>
      <c r="G8" s="306">
        <f t="shared" ca="1" si="11"/>
        <v>0.12394812467150018</v>
      </c>
      <c r="H8" s="307">
        <f t="shared" ca="1" si="12"/>
        <v>1.4168228121672084</v>
      </c>
      <c r="I8" s="304">
        <f t="shared" ca="1" si="13"/>
        <v>1.4222341645056127</v>
      </c>
      <c r="J8" s="306">
        <f t="shared" ca="1" si="14"/>
        <v>1.4909211581924009E-3</v>
      </c>
      <c r="K8" s="307">
        <f t="shared" ca="1" si="15"/>
        <v>1.7042533958661635E-2</v>
      </c>
      <c r="L8" s="304">
        <f t="shared" ca="1" si="0"/>
        <v>1.7107624312922023E-2</v>
      </c>
      <c r="M8" s="306">
        <f t="shared" ca="1" si="16"/>
        <v>1.4835298641951802</v>
      </c>
      <c r="N8" s="304">
        <f t="shared" ca="1" si="17"/>
        <v>85</v>
      </c>
      <c r="P8" s="310">
        <f t="shared" ca="1" si="18"/>
        <v>1</v>
      </c>
      <c r="Q8" s="304">
        <f t="shared" ca="1" si="19"/>
        <v>625.1</v>
      </c>
      <c r="R8" s="306">
        <f t="shared" ca="1" si="20"/>
        <v>0.31370856551543208</v>
      </c>
      <c r="S8" s="307">
        <f t="shared" ca="1" si="21"/>
        <v>7.8778295185025033</v>
      </c>
      <c r="T8" s="304">
        <f t="shared" ca="1" si="1"/>
        <v>77.281507576509568</v>
      </c>
      <c r="U8" s="311">
        <f t="shared" ca="1" si="2"/>
        <v>6.7355271934894612</v>
      </c>
      <c r="V8" s="306">
        <f t="shared" ca="1" si="3"/>
        <v>1.224997912291369</v>
      </c>
      <c r="W8" s="304">
        <f t="shared" ca="1" si="4"/>
        <v>6.2286493356514105E-3</v>
      </c>
      <c r="Y8" s="314" t="str">
        <f t="shared" ca="1" si="22"/>
        <v/>
      </c>
      <c r="Z8" s="315" t="str">
        <f t="shared" ca="1" si="23"/>
        <v/>
      </c>
      <c r="AA8" s="316" t="str">
        <f t="shared" ca="1" si="24"/>
        <v/>
      </c>
      <c r="AC8" s="310" t="e">
        <f t="shared" ca="1" si="25"/>
        <v>#N/A</v>
      </c>
      <c r="AD8" s="323" t="e">
        <f t="shared" ca="1" si="26"/>
        <v>#N/A</v>
      </c>
      <c r="AE8" s="324">
        <f t="shared" ca="1" si="5"/>
        <v>1.7042533958661635E-2</v>
      </c>
      <c r="AG8" s="306">
        <f t="shared" ca="1" si="27"/>
        <v>69.576390993932463</v>
      </c>
      <c r="AH8" s="304">
        <f t="shared" ca="1" si="28"/>
        <v>79.349060982212492</v>
      </c>
    </row>
    <row r="9" spans="1:248" x14ac:dyDescent="0.2">
      <c r="A9" s="347">
        <f t="shared" ca="1" si="6"/>
        <v>0.01</v>
      </c>
      <c r="B9" s="304">
        <f t="shared" ca="1" si="7"/>
        <v>0.05</v>
      </c>
      <c r="D9" s="306">
        <f t="shared" ca="1" si="8"/>
        <v>8.0439765162891241</v>
      </c>
      <c r="E9" s="307">
        <f t="shared" ca="1" si="9"/>
        <v>91.948097530412554</v>
      </c>
      <c r="F9" s="304">
        <f t="shared" ca="1" si="10"/>
        <v>92.299286008380747</v>
      </c>
      <c r="G9" s="306">
        <f t="shared" ca="1" si="11"/>
        <v>0.20438788983439143</v>
      </c>
      <c r="H9" s="307">
        <f t="shared" ca="1" si="12"/>
        <v>2.3363037874713339</v>
      </c>
      <c r="I9" s="304">
        <f t="shared" ca="1" si="13"/>
        <v>2.3452270245892732</v>
      </c>
      <c r="J9" s="306">
        <f t="shared" ca="1" si="14"/>
        <v>3.1326012307218588E-3</v>
      </c>
      <c r="K9" s="307">
        <f t="shared" ca="1" si="15"/>
        <v>3.5808166956854348E-2</v>
      </c>
      <c r="L9" s="304">
        <f t="shared" ca="1" si="0"/>
        <v>3.5944930258392155E-2</v>
      </c>
      <c r="M9" s="306">
        <f t="shared" ca="1" si="16"/>
        <v>1.4835298641951802</v>
      </c>
      <c r="N9" s="304">
        <f t="shared" ca="1" si="17"/>
        <v>85</v>
      </c>
      <c r="P9" s="310">
        <f t="shared" ca="1" si="18"/>
        <v>1</v>
      </c>
      <c r="Q9" s="304">
        <f t="shared" ca="1" si="19"/>
        <v>803.7</v>
      </c>
      <c r="R9" s="306">
        <f t="shared" ca="1" si="20"/>
        <v>0.40333958423412697</v>
      </c>
      <c r="S9" s="307">
        <f t="shared" ca="1" si="21"/>
        <v>7.8737961226601625</v>
      </c>
      <c r="T9" s="304">
        <f t="shared" ca="1" si="1"/>
        <v>77.241939963296204</v>
      </c>
      <c r="U9" s="311">
        <f t="shared" ca="1" si="2"/>
        <v>6.7320786487710986</v>
      </c>
      <c r="V9" s="306">
        <f t="shared" ca="1" si="3"/>
        <v>1.2249956135074014</v>
      </c>
      <c r="W9" s="304">
        <f t="shared" ca="1" si="4"/>
        <v>1.6936381685961673E-2</v>
      </c>
      <c r="Y9" s="314" t="str">
        <f t="shared" ca="1" si="22"/>
        <v/>
      </c>
      <c r="Z9" s="315" t="str">
        <f t="shared" ca="1" si="23"/>
        <v/>
      </c>
      <c r="AA9" s="316" t="str">
        <f t="shared" ca="1" si="24"/>
        <v/>
      </c>
      <c r="AC9" s="310" t="e">
        <f t="shared" ca="1" si="25"/>
        <v>#N/A</v>
      </c>
      <c r="AD9" s="323" t="e">
        <f t="shared" ca="1" si="26"/>
        <v>#N/A</v>
      </c>
      <c r="AE9" s="324">
        <f t="shared" ca="1" si="5"/>
        <v>3.5808166956854348E-2</v>
      </c>
      <c r="AG9" s="306">
        <f t="shared" ca="1" si="27"/>
        <v>92.299286007341607</v>
      </c>
      <c r="AH9" s="304">
        <f t="shared" ca="1" si="28"/>
        <v>102.07195599562164</v>
      </c>
    </row>
    <row r="10" spans="1:248" x14ac:dyDescent="0.2">
      <c r="A10" s="347">
        <f t="shared" ca="1" si="6"/>
        <v>0.01</v>
      </c>
      <c r="B10" s="304">
        <f t="shared" ca="1" si="7"/>
        <v>6.0000000000000005E-2</v>
      </c>
      <c r="D10" s="306">
        <f t="shared" ca="1" si="8"/>
        <v>9.0262112313484835</v>
      </c>
      <c r="E10" s="307">
        <f t="shared" ca="1" si="9"/>
        <v>103.17564662802653</v>
      </c>
      <c r="F10" s="304">
        <f t="shared" ca="1" si="10"/>
        <v>103.56971828823482</v>
      </c>
      <c r="G10" s="306">
        <f t="shared" ca="1" si="11"/>
        <v>0.29465000214787629</v>
      </c>
      <c r="H10" s="307">
        <f t="shared" ca="1" si="12"/>
        <v>3.3680602537515991</v>
      </c>
      <c r="I10" s="304">
        <f t="shared" ca="1" si="13"/>
        <v>3.3809242074715358</v>
      </c>
      <c r="J10" s="306">
        <f t="shared" ca="1" si="14"/>
        <v>5.627790690633197E-3</v>
      </c>
      <c r="K10" s="307">
        <f t="shared" ca="1" si="15"/>
        <v>6.4329987162969005E-2</v>
      </c>
      <c r="L10" s="304">
        <f t="shared" ca="1" si="0"/>
        <v>6.4575686418692713E-2</v>
      </c>
      <c r="M10" s="306">
        <f t="shared" ca="1" si="16"/>
        <v>1.4835298641951802</v>
      </c>
      <c r="N10" s="304">
        <f t="shared" ca="1" si="17"/>
        <v>85</v>
      </c>
      <c r="P10" s="310">
        <f t="shared" ca="1" si="18"/>
        <v>2</v>
      </c>
      <c r="Q10" s="304">
        <f t="shared" ca="1" si="19"/>
        <v>891.94444444444446</v>
      </c>
      <c r="R10" s="306">
        <f t="shared" ca="1" si="20"/>
        <v>0.44762535944029064</v>
      </c>
      <c r="S10" s="307">
        <f t="shared" ca="1" si="21"/>
        <v>7.8693198690657598</v>
      </c>
      <c r="T10" s="304">
        <f t="shared" ca="1" si="1"/>
        <v>77.198027915535107</v>
      </c>
      <c r="U10" s="311">
        <f t="shared" ca="1" si="2"/>
        <v>6.728251461632909</v>
      </c>
      <c r="V10" s="306">
        <f t="shared" ca="1" si="3"/>
        <v>1.22499211960192</v>
      </c>
      <c r="W10" s="304">
        <f t="shared" ca="1" si="4"/>
        <v>3.5198202364616217E-2</v>
      </c>
      <c r="Y10" s="314" t="str">
        <f t="shared" ca="1" si="22"/>
        <v/>
      </c>
      <c r="Z10" s="315" t="str">
        <f t="shared" ca="1" si="23"/>
        <v/>
      </c>
      <c r="AA10" s="316" t="str">
        <f t="shared" ca="1" si="24"/>
        <v/>
      </c>
      <c r="AC10" s="310" t="e">
        <f t="shared" ca="1" si="25"/>
        <v>#N/A</v>
      </c>
      <c r="AD10" s="323" t="e">
        <f t="shared" ca="1" si="26"/>
        <v>#N/A</v>
      </c>
      <c r="AE10" s="324">
        <f t="shared" ca="1" si="5"/>
        <v>6.4329987162969005E-2</v>
      </c>
      <c r="AG10" s="306">
        <f t="shared" ca="1" si="27"/>
        <v>103.56971828709294</v>
      </c>
      <c r="AH10" s="304">
        <f t="shared" ca="1" si="28"/>
        <v>113.34238827537297</v>
      </c>
    </row>
    <row r="11" spans="1:248" x14ac:dyDescent="0.2">
      <c r="A11" s="347">
        <f t="shared" ca="1" si="6"/>
        <v>0.01</v>
      </c>
      <c r="B11" s="304">
        <f t="shared" ca="1" si="7"/>
        <v>7.0000000000000007E-2</v>
      </c>
      <c r="D11" s="306">
        <f t="shared" ca="1" si="8"/>
        <v>9.0082240606368309</v>
      </c>
      <c r="E11" s="307">
        <f t="shared" ca="1" si="9"/>
        <v>102.97004227944993</v>
      </c>
      <c r="F11" s="304">
        <f t="shared" ca="1" si="10"/>
        <v>103.36332864105307</v>
      </c>
      <c r="G11" s="306">
        <f t="shared" ca="1" si="11"/>
        <v>0.38473224275424461</v>
      </c>
      <c r="H11" s="307">
        <f t="shared" ca="1" si="12"/>
        <v>4.3977606765460981</v>
      </c>
      <c r="I11" s="304">
        <f t="shared" ca="1" si="13"/>
        <v>4.4145574938820209</v>
      </c>
      <c r="J11" s="306">
        <f t="shared" ca="1" si="14"/>
        <v>9.0247019151438023E-3</v>
      </c>
      <c r="K11" s="307">
        <f t="shared" ca="1" si="15"/>
        <v>0.10315909181445748</v>
      </c>
      <c r="L11" s="304">
        <f t="shared" ca="1" si="0"/>
        <v>0.10355309492545778</v>
      </c>
      <c r="M11" s="306">
        <f t="shared" ca="1" si="16"/>
        <v>1.4835298641951802</v>
      </c>
      <c r="N11" s="304">
        <f t="shared" ca="1" si="17"/>
        <v>85</v>
      </c>
      <c r="P11" s="310">
        <f t="shared" ca="1" si="18"/>
        <v>2</v>
      </c>
      <c r="Q11" s="304">
        <f t="shared" ca="1" si="19"/>
        <v>889.83333333333337</v>
      </c>
      <c r="R11" s="306">
        <f t="shared" ca="1" si="20"/>
        <v>0.44656589113392309</v>
      </c>
      <c r="S11" s="307">
        <f t="shared" ca="1" si="21"/>
        <v>7.8648542101544203</v>
      </c>
      <c r="T11" s="304">
        <f t="shared" ca="1" si="1"/>
        <v>77.154219801614872</v>
      </c>
      <c r="U11" s="311">
        <f t="shared" ca="1" si="2"/>
        <v>6.724433332925817</v>
      </c>
      <c r="V11" s="306">
        <f t="shared" ca="1" si="3"/>
        <v>1.2249873630764334</v>
      </c>
      <c r="W11" s="304">
        <f t="shared" ca="1" si="4"/>
        <v>6.0009814205152126E-2</v>
      </c>
      <c r="Y11" s="314" t="str">
        <f t="shared" ca="1" si="22"/>
        <v/>
      </c>
      <c r="Z11" s="315" t="str">
        <f t="shared" ca="1" si="23"/>
        <v/>
      </c>
      <c r="AA11" s="316" t="str">
        <f t="shared" ca="1" si="24"/>
        <v/>
      </c>
      <c r="AC11" s="310" t="e">
        <f t="shared" ca="1" si="25"/>
        <v>#N/A</v>
      </c>
      <c r="AD11" s="323" t="e">
        <f t="shared" ca="1" si="26"/>
        <v>#N/A</v>
      </c>
      <c r="AE11" s="324">
        <f t="shared" ca="1" si="5"/>
        <v>0.10315909181445748</v>
      </c>
      <c r="AG11" s="306">
        <f t="shared" ca="1" si="27"/>
        <v>103.36332863991301</v>
      </c>
      <c r="AH11" s="304">
        <f t="shared" ca="1" si="28"/>
        <v>113.13599862819304</v>
      </c>
    </row>
    <row r="12" spans="1:248" x14ac:dyDescent="0.2">
      <c r="A12" s="347">
        <f t="shared" ca="1" si="6"/>
        <v>0.01</v>
      </c>
      <c r="B12" s="304">
        <f t="shared" ca="1" si="7"/>
        <v>0.08</v>
      </c>
      <c r="D12" s="306">
        <f t="shared" ca="1" si="8"/>
        <v>8.9901305627898793</v>
      </c>
      <c r="E12" s="307">
        <f t="shared" ca="1" si="9"/>
        <v>102.76322258724618</v>
      </c>
      <c r="F12" s="304">
        <f t="shared" ca="1" si="10"/>
        <v>103.15571900797315</v>
      </c>
      <c r="G12" s="306">
        <f t="shared" ca="1" si="11"/>
        <v>0.47463354838214339</v>
      </c>
      <c r="H12" s="307">
        <f t="shared" ca="1" si="12"/>
        <v>5.4253929024185599</v>
      </c>
      <c r="I12" s="304">
        <f t="shared" ca="1" si="13"/>
        <v>5.4461146839617243</v>
      </c>
      <c r="J12" s="306">
        <f t="shared" ca="1" si="14"/>
        <v>1.3321530870825743E-2</v>
      </c>
      <c r="K12" s="307">
        <f t="shared" ca="1" si="15"/>
        <v>0.15227485970928079</v>
      </c>
      <c r="L12" s="304">
        <f t="shared" ca="1" si="0"/>
        <v>0.15285645581467441</v>
      </c>
      <c r="M12" s="306">
        <f t="shared" ca="1" si="16"/>
        <v>1.4835298641951802</v>
      </c>
      <c r="N12" s="304">
        <f t="shared" ca="1" si="17"/>
        <v>85</v>
      </c>
      <c r="P12" s="310">
        <f t="shared" ca="1" si="18"/>
        <v>2</v>
      </c>
      <c r="Q12" s="304">
        <f t="shared" ca="1" si="19"/>
        <v>887.72222222222217</v>
      </c>
      <c r="R12" s="306">
        <f t="shared" ca="1" si="20"/>
        <v>0.44550642282755548</v>
      </c>
      <c r="S12" s="307">
        <f t="shared" ca="1" si="21"/>
        <v>7.8603991459261451</v>
      </c>
      <c r="T12" s="304">
        <f t="shared" ca="1" si="1"/>
        <v>77.110515621535484</v>
      </c>
      <c r="U12" s="311">
        <f t="shared" ca="1" si="2"/>
        <v>6.7206242626498209</v>
      </c>
      <c r="V12" s="306">
        <f t="shared" ca="1" si="3"/>
        <v>1.224981346471709</v>
      </c>
      <c r="W12" s="304">
        <f t="shared" ca="1" si="4"/>
        <v>9.1331241108889946E-2</v>
      </c>
      <c r="Y12" s="314" t="str">
        <f t="shared" ca="1" si="22"/>
        <v/>
      </c>
      <c r="Z12" s="315" t="str">
        <f t="shared" ca="1" si="23"/>
        <v/>
      </c>
      <c r="AA12" s="316" t="str">
        <f t="shared" ca="1" si="24"/>
        <v/>
      </c>
      <c r="AC12" s="310" t="e">
        <f t="shared" ca="1" si="25"/>
        <v>#N/A</v>
      </c>
      <c r="AD12" s="323" t="e">
        <f t="shared" ca="1" si="26"/>
        <v>#N/A</v>
      </c>
      <c r="AE12" s="324">
        <f t="shared" ca="1" si="5"/>
        <v>0.15227485970928079</v>
      </c>
      <c r="AG12" s="306">
        <f t="shared" ca="1" si="27"/>
        <v>103.15571900683491</v>
      </c>
      <c r="AH12" s="304">
        <f t="shared" ca="1" si="28"/>
        <v>112.92838899511494</v>
      </c>
    </row>
    <row r="13" spans="1:248" x14ac:dyDescent="0.2">
      <c r="A13" s="347">
        <f t="shared" ca="1" si="6"/>
        <v>0.01</v>
      </c>
      <c r="B13" s="304">
        <f t="shared" ca="1" si="7"/>
        <v>0.09</v>
      </c>
      <c r="D13" s="306">
        <f t="shared" ca="1" si="8"/>
        <v>8.9719310736227786</v>
      </c>
      <c r="E13" s="307">
        <f t="shared" ca="1" si="9"/>
        <v>102.55519138980853</v>
      </c>
      <c r="F13" s="304">
        <f t="shared" ca="1" si="10"/>
        <v>102.94689324205027</v>
      </c>
      <c r="G13" s="306">
        <f t="shared" ca="1" si="11"/>
        <v>0.56435285911837119</v>
      </c>
      <c r="H13" s="307">
        <f t="shared" ca="1" si="12"/>
        <v>6.4509448163166452</v>
      </c>
      <c r="I13" s="304">
        <f t="shared" ca="1" si="13"/>
        <v>6.4755836163822087</v>
      </c>
      <c r="J13" s="306">
        <f t="shared" ca="1" si="14"/>
        <v>1.8516462908328316E-2</v>
      </c>
      <c r="K13" s="307">
        <f t="shared" ca="1" si="15"/>
        <v>0.2116565483029568</v>
      </c>
      <c r="L13" s="304">
        <f t="shared" ca="1" si="0"/>
        <v>0.21246494731639237</v>
      </c>
      <c r="M13" s="306">
        <f t="shared" ca="1" si="16"/>
        <v>1.4835298641951802</v>
      </c>
      <c r="N13" s="304">
        <f t="shared" ca="1" si="17"/>
        <v>85</v>
      </c>
      <c r="P13" s="310">
        <f t="shared" ca="1" si="18"/>
        <v>2</v>
      </c>
      <c r="Q13" s="304">
        <f t="shared" ca="1" si="19"/>
        <v>885.61111111111109</v>
      </c>
      <c r="R13" s="306">
        <f t="shared" ca="1" si="20"/>
        <v>0.44444695452118799</v>
      </c>
      <c r="S13" s="307">
        <f t="shared" ca="1" si="21"/>
        <v>7.8559546763809331</v>
      </c>
      <c r="T13" s="304">
        <f t="shared" ca="1" si="1"/>
        <v>77.066915375296958</v>
      </c>
      <c r="U13" s="311">
        <f t="shared" ca="1" si="2"/>
        <v>6.7168242508049216</v>
      </c>
      <c r="V13" s="306">
        <f t="shared" ca="1" si="3"/>
        <v>1.2249740723472207</v>
      </c>
      <c r="W13" s="304">
        <f t="shared" ca="1" si="4"/>
        <v>0.12912223857640667</v>
      </c>
      <c r="Y13" s="314" t="str">
        <f t="shared" ca="1" si="22"/>
        <v/>
      </c>
      <c r="Z13" s="315" t="str">
        <f t="shared" ca="1" si="23"/>
        <v/>
      </c>
      <c r="AA13" s="316" t="str">
        <f t="shared" ca="1" si="24"/>
        <v/>
      </c>
      <c r="AC13" s="310" t="e">
        <f t="shared" ca="1" si="25"/>
        <v>#N/A</v>
      </c>
      <c r="AD13" s="323" t="e">
        <f t="shared" ca="1" si="26"/>
        <v>#N/A</v>
      </c>
      <c r="AE13" s="324">
        <f t="shared" ca="1" si="5"/>
        <v>0.2116565483029568</v>
      </c>
      <c r="AG13" s="306">
        <f t="shared" ca="1" si="27"/>
        <v>102.94689324091388</v>
      </c>
      <c r="AH13" s="304">
        <f t="shared" ca="1" si="28"/>
        <v>112.71956322919391</v>
      </c>
    </row>
    <row r="14" spans="1:248" x14ac:dyDescent="0.2">
      <c r="A14" s="347">
        <f t="shared" ca="1" si="6"/>
        <v>0.01</v>
      </c>
      <c r="B14" s="304">
        <f t="shared" ca="1" si="7"/>
        <v>9.9999999999999992E-2</v>
      </c>
      <c r="D14" s="306">
        <f t="shared" ca="1" si="8"/>
        <v>8.9536259335494641</v>
      </c>
      <c r="E14" s="307">
        <f t="shared" ca="1" si="9"/>
        <v>102.34595257809484</v>
      </c>
      <c r="F14" s="304">
        <f t="shared" ca="1" si="10"/>
        <v>102.73685524910506</v>
      </c>
      <c r="G14" s="306">
        <f t="shared" ca="1" si="11"/>
        <v>0.65388911845386577</v>
      </c>
      <c r="H14" s="307">
        <f t="shared" ca="1" si="12"/>
        <v>7.4744043420975936</v>
      </c>
      <c r="I14" s="304">
        <f t="shared" ca="1" si="13"/>
        <v>7.5029521688732448</v>
      </c>
      <c r="J14" s="306">
        <f t="shared" ca="1" si="14"/>
        <v>2.46076727961895E-2</v>
      </c>
      <c r="K14" s="307">
        <f t="shared" ca="1" si="15"/>
        <v>0.281283294095028</v>
      </c>
      <c r="L14" s="304">
        <f t="shared" ca="1" si="0"/>
        <v>0.28235762624266825</v>
      </c>
      <c r="M14" s="306">
        <f t="shared" ca="1" si="16"/>
        <v>1.4835298641951802</v>
      </c>
      <c r="N14" s="304">
        <f t="shared" ca="1" si="17"/>
        <v>85</v>
      </c>
      <c r="P14" s="310">
        <f t="shared" ca="1" si="18"/>
        <v>2</v>
      </c>
      <c r="Q14" s="304">
        <f t="shared" ca="1" si="19"/>
        <v>883.5</v>
      </c>
      <c r="R14" s="306">
        <f t="shared" ca="1" si="20"/>
        <v>0.44338748621482044</v>
      </c>
      <c r="S14" s="307">
        <f t="shared" ca="1" si="21"/>
        <v>7.8515208015187845</v>
      </c>
      <c r="T14" s="304">
        <f t="shared" ca="1" si="1"/>
        <v>77.023419062899279</v>
      </c>
      <c r="U14" s="311">
        <f t="shared" ca="1" si="2"/>
        <v>6.7130332973911173</v>
      </c>
      <c r="V14" s="306">
        <f t="shared" ca="1" si="3"/>
        <v>1.2249655432810784</v>
      </c>
      <c r="W14" s="304">
        <f t="shared" ca="1" si="4"/>
        <v>0.17334229707041138</v>
      </c>
      <c r="Y14" s="314" t="str">
        <f t="shared" ca="1" si="22"/>
        <v/>
      </c>
      <c r="Z14" s="315" t="str">
        <f t="shared" ca="1" si="23"/>
        <v/>
      </c>
      <c r="AA14" s="316" t="str">
        <f t="shared" ca="1" si="24"/>
        <v/>
      </c>
      <c r="AC14" s="310" t="e">
        <f t="shared" ca="1" si="25"/>
        <v>#N/A</v>
      </c>
      <c r="AD14" s="323" t="e">
        <f t="shared" ca="1" si="26"/>
        <v>#N/A</v>
      </c>
      <c r="AE14" s="324">
        <f t="shared" ca="1" si="5"/>
        <v>0.281283294095028</v>
      </c>
      <c r="AG14" s="306">
        <f t="shared" ca="1" si="27"/>
        <v>102.73685524797048</v>
      </c>
      <c r="AH14" s="304">
        <f t="shared" ca="1" si="28"/>
        <v>112.50952523625051</v>
      </c>
    </row>
    <row r="15" spans="1:248" x14ac:dyDescent="0.2">
      <c r="A15" s="347">
        <f t="shared" ca="1" si="6"/>
        <v>0.01</v>
      </c>
      <c r="B15" s="304">
        <f t="shared" ca="1" si="7"/>
        <v>0.10999999999999999</v>
      </c>
      <c r="D15" s="306">
        <f t="shared" ca="1" si="8"/>
        <v>8.9352154875537462</v>
      </c>
      <c r="E15" s="307">
        <f t="shared" ca="1" si="9"/>
        <v>102.13551009529694</v>
      </c>
      <c r="F15" s="304">
        <f t="shared" ca="1" si="10"/>
        <v>102.52560898739165</v>
      </c>
      <c r="G15" s="306">
        <f t="shared" ca="1" si="11"/>
        <v>0.74324127332940326</v>
      </c>
      <c r="H15" s="307">
        <f t="shared" ca="1" si="12"/>
        <v>8.495759443050563</v>
      </c>
      <c r="I15" s="304">
        <f t="shared" ca="1" si="13"/>
        <v>8.528208258747151</v>
      </c>
      <c r="J15" s="306">
        <f t="shared" ca="1" si="14"/>
        <v>3.1593324755105845E-2</v>
      </c>
      <c r="K15" s="307">
        <f t="shared" ca="1" si="15"/>
        <v>0.36113411302076881</v>
      </c>
      <c r="L15" s="304">
        <f t="shared" ca="1" si="0"/>
        <v>0.36251342838076911</v>
      </c>
      <c r="M15" s="306">
        <f t="shared" ca="1" si="16"/>
        <v>1.4835298641951802</v>
      </c>
      <c r="N15" s="304">
        <f t="shared" ca="1" si="17"/>
        <v>85</v>
      </c>
      <c r="P15" s="310">
        <f t="shared" ca="1" si="18"/>
        <v>2</v>
      </c>
      <c r="Q15" s="304">
        <f t="shared" ca="1" si="19"/>
        <v>881.38888888888891</v>
      </c>
      <c r="R15" s="306">
        <f t="shared" ca="1" si="20"/>
        <v>0.44232801790845289</v>
      </c>
      <c r="S15" s="307">
        <f t="shared" ca="1" si="21"/>
        <v>7.8470975213397001</v>
      </c>
      <c r="T15" s="304">
        <f t="shared" ca="1" si="1"/>
        <v>76.980026684342462</v>
      </c>
      <c r="U15" s="311">
        <f t="shared" ca="1" si="2"/>
        <v>6.7092514024084107</v>
      </c>
      <c r="V15" s="306">
        <f t="shared" ca="1" si="3"/>
        <v>1.22495576186995</v>
      </c>
      <c r="W15" s="304">
        <f t="shared" ca="1" si="4"/>
        <v>0.22395064540325524</v>
      </c>
      <c r="Y15" s="314" t="str">
        <f t="shared" ca="1" si="22"/>
        <v/>
      </c>
      <c r="Z15" s="315" t="str">
        <f t="shared" ca="1" si="23"/>
        <v/>
      </c>
      <c r="AA15" s="316" t="str">
        <f t="shared" ca="1" si="24"/>
        <v/>
      </c>
      <c r="AC15" s="310" t="e">
        <f t="shared" ca="1" si="25"/>
        <v>#N/A</v>
      </c>
      <c r="AD15" s="323" t="e">
        <f t="shared" ca="1" si="26"/>
        <v>#N/A</v>
      </c>
      <c r="AE15" s="324">
        <f t="shared" ca="1" si="5"/>
        <v>0.36113411302076881</v>
      </c>
      <c r="AG15" s="306">
        <f t="shared" ca="1" si="27"/>
        <v>102.52560898625889</v>
      </c>
      <c r="AH15" s="304">
        <f t="shared" ca="1" si="28"/>
        <v>112.29827897453892</v>
      </c>
    </row>
    <row r="16" spans="1:248" x14ac:dyDescent="0.2">
      <c r="A16" s="347">
        <f t="shared" ca="1" si="6"/>
        <v>0.01</v>
      </c>
      <c r="B16" s="304">
        <f t="shared" ca="1" si="7"/>
        <v>0.11999999999999998</v>
      </c>
      <c r="D16" s="306">
        <f t="shared" ca="1" si="8"/>
        <v>8.916700085159917</v>
      </c>
      <c r="E16" s="307">
        <f t="shared" ca="1" si="9"/>
        <v>101.92386793650486</v>
      </c>
      <c r="F16" s="304">
        <f t="shared" ca="1" si="10"/>
        <v>102.31315846726058</v>
      </c>
      <c r="G16" s="306">
        <f t="shared" ca="1" si="11"/>
        <v>0.83240827418100238</v>
      </c>
      <c r="H16" s="307">
        <f t="shared" ca="1" si="12"/>
        <v>9.5149981224156122</v>
      </c>
      <c r="I16" s="304">
        <f t="shared" ca="1" si="13"/>
        <v>9.5513398434197505</v>
      </c>
      <c r="J16" s="306">
        <f t="shared" ca="1" si="14"/>
        <v>3.9471572492657876E-2</v>
      </c>
      <c r="K16" s="307">
        <f t="shared" ca="1" si="15"/>
        <v>0.45118790084809968</v>
      </c>
      <c r="L16" s="304">
        <f t="shared" ca="1" si="0"/>
        <v>0.4529111688916026</v>
      </c>
      <c r="M16" s="306">
        <f t="shared" ca="1" si="16"/>
        <v>1.4835298641951802</v>
      </c>
      <c r="N16" s="304">
        <f t="shared" ca="1" si="17"/>
        <v>85</v>
      </c>
      <c r="P16" s="310">
        <f t="shared" ca="1" si="18"/>
        <v>2</v>
      </c>
      <c r="Q16" s="304">
        <f t="shared" ca="1" si="19"/>
        <v>879.27777777777783</v>
      </c>
      <c r="R16" s="306">
        <f t="shared" ca="1" si="20"/>
        <v>0.44126854960208534</v>
      </c>
      <c r="S16" s="307">
        <f t="shared" ca="1" si="21"/>
        <v>7.8426848358436789</v>
      </c>
      <c r="T16" s="304">
        <f t="shared" ca="1" si="1"/>
        <v>76.936738239626493</v>
      </c>
      <c r="U16" s="311">
        <f t="shared" ca="1" si="2"/>
        <v>6.705478565856799</v>
      </c>
      <c r="V16" s="306">
        <f t="shared" ca="1" si="3"/>
        <v>1.2249447307289874</v>
      </c>
      <c r="W16" s="304">
        <f t="shared" ca="1" si="4"/>
        <v>0.28090625414857362</v>
      </c>
      <c r="Y16" s="314" t="str">
        <f t="shared" ca="1" si="22"/>
        <v/>
      </c>
      <c r="Z16" s="315" t="str">
        <f t="shared" ca="1" si="23"/>
        <v/>
      </c>
      <c r="AA16" s="316" t="str">
        <f t="shared" ca="1" si="24"/>
        <v/>
      </c>
      <c r="AC16" s="310" t="e">
        <f t="shared" ca="1" si="25"/>
        <v>#N/A</v>
      </c>
      <c r="AD16" s="323" t="e">
        <f t="shared" ca="1" si="26"/>
        <v>#N/A</v>
      </c>
      <c r="AE16" s="324">
        <f t="shared" ca="1" si="5"/>
        <v>0.45118790084809968</v>
      </c>
      <c r="AG16" s="306">
        <f t="shared" ca="1" si="27"/>
        <v>102.31315846612962</v>
      </c>
      <c r="AH16" s="304">
        <f t="shared" ca="1" si="28"/>
        <v>112.08582845440965</v>
      </c>
    </row>
    <row r="17" spans="1:34" x14ac:dyDescent="0.2">
      <c r="A17" s="347">
        <f t="shared" ca="1" si="6"/>
        <v>0.01</v>
      </c>
      <c r="B17" s="304">
        <f t="shared" ca="1" si="7"/>
        <v>0.12999999999999998</v>
      </c>
      <c r="D17" s="306">
        <f t="shared" ca="1" si="8"/>
        <v>8.8980800804029005</v>
      </c>
      <c r="E17" s="307">
        <f t="shared" ca="1" si="9"/>
        <v>101.71103014836558</v>
      </c>
      <c r="F17" s="304">
        <f t="shared" ca="1" si="10"/>
        <v>102.09950775081629</v>
      </c>
      <c r="G17" s="306">
        <f t="shared" ca="1" si="11"/>
        <v>0.92138907498503142</v>
      </c>
      <c r="H17" s="307">
        <f t="shared" ca="1" si="12"/>
        <v>10.532108423899269</v>
      </c>
      <c r="I17" s="304">
        <f t="shared" ca="1" si="13"/>
        <v>10.572334920927908</v>
      </c>
      <c r="J17" s="306">
        <f t="shared" ca="1" si="14"/>
        <v>4.8240559238488044E-2</v>
      </c>
      <c r="K17" s="307">
        <f t="shared" ca="1" si="15"/>
        <v>0.55142343357967405</v>
      </c>
      <c r="L17" s="304">
        <f t="shared" ca="1" si="0"/>
        <v>0.55352954271333998</v>
      </c>
      <c r="M17" s="306">
        <f t="shared" ca="1" si="16"/>
        <v>1.4835298641951802</v>
      </c>
      <c r="N17" s="304">
        <f t="shared" ca="1" si="17"/>
        <v>85</v>
      </c>
      <c r="P17" s="310">
        <f t="shared" ca="1" si="18"/>
        <v>2</v>
      </c>
      <c r="Q17" s="304">
        <f t="shared" ca="1" si="19"/>
        <v>877.16666666666663</v>
      </c>
      <c r="R17" s="306">
        <f t="shared" ca="1" si="20"/>
        <v>0.44020908129571773</v>
      </c>
      <c r="S17" s="307">
        <f t="shared" ca="1" si="21"/>
        <v>7.838282745030722</v>
      </c>
      <c r="T17" s="304">
        <f t="shared" ca="1" si="1"/>
        <v>76.893553728751385</v>
      </c>
      <c r="U17" s="311">
        <f t="shared" ca="1" si="2"/>
        <v>6.701714787736285</v>
      </c>
      <c r="V17" s="306">
        <f t="shared" ca="1" si="3"/>
        <v>1.2249324524917506</v>
      </c>
      <c r="W17" s="304">
        <f t="shared" ca="1" si="4"/>
        <v>0.34416783907655196</v>
      </c>
      <c r="Y17" s="314" t="str">
        <f t="shared" ca="1" si="22"/>
        <v/>
      </c>
      <c r="Z17" s="315" t="str">
        <f t="shared" ca="1" si="23"/>
        <v/>
      </c>
      <c r="AA17" s="316" t="str">
        <f t="shared" ca="1" si="24"/>
        <v/>
      </c>
      <c r="AC17" s="310" t="e">
        <f t="shared" ca="1" si="25"/>
        <v>#N/A</v>
      </c>
      <c r="AD17" s="323" t="e">
        <f t="shared" ca="1" si="26"/>
        <v>#N/A</v>
      </c>
      <c r="AE17" s="324">
        <f t="shared" ca="1" si="5"/>
        <v>0.55142343357967405</v>
      </c>
      <c r="AG17" s="306">
        <f t="shared" ca="1" si="27"/>
        <v>102.09950774968713</v>
      </c>
      <c r="AH17" s="304">
        <f t="shared" ca="1" si="28"/>
        <v>111.87217773796716</v>
      </c>
    </row>
    <row r="18" spans="1:34" x14ac:dyDescent="0.2">
      <c r="A18" s="347">
        <f t="shared" ca="1" si="6"/>
        <v>0.01</v>
      </c>
      <c r="B18" s="304">
        <f t="shared" ca="1" si="7"/>
        <v>0.13999999999999999</v>
      </c>
      <c r="D18" s="306">
        <f t="shared" ca="1" si="8"/>
        <v>8.8793558317979588</v>
      </c>
      <c r="E18" s="307">
        <f t="shared" ca="1" si="9"/>
        <v>101.49700082873669</v>
      </c>
      <c r="F18" s="304">
        <f t="shared" ca="1" si="10"/>
        <v>101.88466095156944</v>
      </c>
      <c r="G18" s="306">
        <f t="shared" ca="1" si="11"/>
        <v>1.0101826333030111</v>
      </c>
      <c r="H18" s="307">
        <f t="shared" ca="1" si="12"/>
        <v>11.547078432186636</v>
      </c>
      <c r="I18" s="304">
        <f t="shared" ca="1" si="13"/>
        <v>11.591181530443597</v>
      </c>
      <c r="J18" s="306">
        <f t="shared" ca="1" si="14"/>
        <v>5.7898417779928255E-2</v>
      </c>
      <c r="K18" s="307">
        <f t="shared" ca="1" si="15"/>
        <v>0.66181936786010354</v>
      </c>
      <c r="L18" s="304">
        <f t="shared" ca="1" si="0"/>
        <v>0.66434712497019666</v>
      </c>
      <c r="M18" s="306">
        <f t="shared" ca="1" si="16"/>
        <v>1.4835298641951802</v>
      </c>
      <c r="N18" s="304">
        <f t="shared" ca="1" si="17"/>
        <v>85</v>
      </c>
      <c r="P18" s="310">
        <f t="shared" ca="1" si="18"/>
        <v>2</v>
      </c>
      <c r="Q18" s="304">
        <f t="shared" ca="1" si="19"/>
        <v>875.05555555555554</v>
      </c>
      <c r="R18" s="306">
        <f t="shared" ca="1" si="20"/>
        <v>0.43914961298935024</v>
      </c>
      <c r="S18" s="307">
        <f t="shared" ca="1" si="21"/>
        <v>7.8338912489008283</v>
      </c>
      <c r="T18" s="304">
        <f t="shared" ca="1" si="1"/>
        <v>76.850473151717125</v>
      </c>
      <c r="U18" s="311">
        <f t="shared" ca="1" si="2"/>
        <v>6.6979600680468661</v>
      </c>
      <c r="V18" s="306">
        <f t="shared" ca="1" si="3"/>
        <v>1.2249189298101286</v>
      </c>
      <c r="W18" s="304">
        <f t="shared" ca="1" si="4"/>
        <v>0.4136938646123054</v>
      </c>
      <c r="Y18" s="314" t="str">
        <f t="shared" ca="1" si="22"/>
        <v/>
      </c>
      <c r="Z18" s="315" t="str">
        <f t="shared" ca="1" si="23"/>
        <v/>
      </c>
      <c r="AA18" s="316" t="str">
        <f t="shared" ca="1" si="24"/>
        <v/>
      </c>
      <c r="AC18" s="310" t="e">
        <f t="shared" ca="1" si="25"/>
        <v>#N/A</v>
      </c>
      <c r="AD18" s="323" t="e">
        <f t="shared" ca="1" si="26"/>
        <v>#N/A</v>
      </c>
      <c r="AE18" s="324">
        <f t="shared" ca="1" si="5"/>
        <v>0.66181936786010354</v>
      </c>
      <c r="AG18" s="306">
        <f t="shared" ca="1" si="27"/>
        <v>101.8846609504421</v>
      </c>
      <c r="AH18" s="304">
        <f t="shared" ca="1" si="28"/>
        <v>111.65733093872213</v>
      </c>
    </row>
    <row r="19" spans="1:34" x14ac:dyDescent="0.2">
      <c r="A19" s="347">
        <f t="shared" ca="1" si="6"/>
        <v>0.01</v>
      </c>
      <c r="B19" s="304">
        <f t="shared" ca="1" si="7"/>
        <v>0.15</v>
      </c>
      <c r="D19" s="306">
        <f t="shared" ca="1" si="8"/>
        <v>8.8605277023099305</v>
      </c>
      <c r="E19" s="307">
        <f t="shared" ca="1" si="9"/>
        <v>101.28178412633487</v>
      </c>
      <c r="F19" s="304">
        <f t="shared" ca="1" si="10"/>
        <v>101.6686222340841</v>
      </c>
      <c r="G19" s="306">
        <f t="shared" ca="1" si="11"/>
        <v>1.0987879103261105</v>
      </c>
      <c r="H19" s="307">
        <f t="shared" ca="1" si="12"/>
        <v>12.559896273449985</v>
      </c>
      <c r="I19" s="304">
        <f t="shared" ca="1" si="13"/>
        <v>12.607867752784435</v>
      </c>
      <c r="J19" s="306">
        <f t="shared" ca="1" si="14"/>
        <v>6.844327049807386E-2</v>
      </c>
      <c r="K19" s="307">
        <f t="shared" ca="1" si="15"/>
        <v>0.78235424138828669</v>
      </c>
      <c r="L19" s="304">
        <f t="shared" ca="1" si="0"/>
        <v>0.78534237138633622</v>
      </c>
      <c r="M19" s="306">
        <f t="shared" ca="1" si="16"/>
        <v>1.4835298641951802</v>
      </c>
      <c r="N19" s="304">
        <f t="shared" ca="1" si="17"/>
        <v>85</v>
      </c>
      <c r="P19" s="310">
        <f t="shared" ca="1" si="18"/>
        <v>2</v>
      </c>
      <c r="Q19" s="304">
        <f t="shared" ca="1" si="19"/>
        <v>872.94444444444446</v>
      </c>
      <c r="R19" s="306">
        <f t="shared" ca="1" si="20"/>
        <v>0.43809014468298269</v>
      </c>
      <c r="S19" s="307">
        <f t="shared" ca="1" si="21"/>
        <v>7.8295103474539989</v>
      </c>
      <c r="T19" s="304">
        <f t="shared" ca="1" si="1"/>
        <v>76.807496508523727</v>
      </c>
      <c r="U19" s="311">
        <f t="shared" ca="1" si="2"/>
        <v>6.6942144067885447</v>
      </c>
      <c r="V19" s="306">
        <f t="shared" ca="1" si="3"/>
        <v>1.2249041653542618</v>
      </c>
      <c r="W19" s="304">
        <f t="shared" ca="1" si="4"/>
        <v>0.48944254731685805</v>
      </c>
      <c r="Y19" s="314" t="str">
        <f t="shared" ca="1" si="22"/>
        <v/>
      </c>
      <c r="Z19" s="315" t="str">
        <f t="shared" ca="1" si="23"/>
        <v/>
      </c>
      <c r="AA19" s="316" t="str">
        <f t="shared" ca="1" si="24"/>
        <v/>
      </c>
      <c r="AC19" s="310" t="e">
        <f t="shared" ca="1" si="25"/>
        <v>#N/A</v>
      </c>
      <c r="AD19" s="323" t="e">
        <f t="shared" ca="1" si="26"/>
        <v>#N/A</v>
      </c>
      <c r="AE19" s="324">
        <f t="shared" ca="1" si="5"/>
        <v>0.78235424138828669</v>
      </c>
      <c r="AG19" s="306">
        <f t="shared" ca="1" si="27"/>
        <v>101.66862223295853</v>
      </c>
      <c r="AH19" s="304">
        <f t="shared" ca="1" si="28"/>
        <v>111.44129222123856</v>
      </c>
    </row>
    <row r="20" spans="1:34" x14ac:dyDescent="0.2">
      <c r="A20" s="347">
        <f t="shared" ca="1" si="6"/>
        <v>0.01</v>
      </c>
      <c r="B20" s="304">
        <f t="shared" ca="1" si="7"/>
        <v>0.16</v>
      </c>
      <c r="D20" s="306">
        <f t="shared" ca="1" si="8"/>
        <v>8.8415960593220291</v>
      </c>
      <c r="E20" s="307">
        <f t="shared" ca="1" si="9"/>
        <v>101.06538424037926</v>
      </c>
      <c r="F20" s="304">
        <f t="shared" ca="1" si="10"/>
        <v>101.45139581361963</v>
      </c>
      <c r="G20" s="306">
        <f t="shared" ca="1" si="11"/>
        <v>1.1872038709193307</v>
      </c>
      <c r="H20" s="307">
        <f t="shared" ca="1" si="12"/>
        <v>13.570550115853777</v>
      </c>
      <c r="I20" s="304">
        <f t="shared" ca="1" si="13"/>
        <v>13.622381710920628</v>
      </c>
      <c r="J20" s="306">
        <f t="shared" ca="1" si="14"/>
        <v>7.9873229404301069E-2</v>
      </c>
      <c r="K20" s="307">
        <f t="shared" ca="1" si="15"/>
        <v>0.91300647333480556</v>
      </c>
      <c r="L20" s="304">
        <f t="shared" ca="1" si="0"/>
        <v>0.91649361870486101</v>
      </c>
      <c r="M20" s="306">
        <f t="shared" ca="1" si="16"/>
        <v>1.4835298641951802</v>
      </c>
      <c r="N20" s="304">
        <f t="shared" ca="1" si="17"/>
        <v>85</v>
      </c>
      <c r="P20" s="310">
        <f t="shared" ca="1" si="18"/>
        <v>2</v>
      </c>
      <c r="Q20" s="304">
        <f t="shared" ca="1" si="19"/>
        <v>870.83333333333337</v>
      </c>
      <c r="R20" s="306">
        <f t="shared" ca="1" si="20"/>
        <v>0.43703067637661513</v>
      </c>
      <c r="S20" s="307">
        <f t="shared" ca="1" si="21"/>
        <v>7.8251400406902327</v>
      </c>
      <c r="T20" s="304">
        <f t="shared" ca="1" si="1"/>
        <v>76.76462379917119</v>
      </c>
      <c r="U20" s="311">
        <f t="shared" ca="1" si="2"/>
        <v>6.6904778039613202</v>
      </c>
      <c r="V20" s="306">
        <f t="shared" ca="1" si="3"/>
        <v>1.2248881618124658</v>
      </c>
      <c r="W20" s="304">
        <f t="shared" ca="1" si="4"/>
        <v>0.57137185939020396</v>
      </c>
      <c r="Y20" s="314" t="str">
        <f t="shared" ca="1" si="22"/>
        <v/>
      </c>
      <c r="Z20" s="315" t="str">
        <f t="shared" ca="1" si="23"/>
        <v/>
      </c>
      <c r="AA20" s="316" t="str">
        <f t="shared" ca="1" si="24"/>
        <v/>
      </c>
      <c r="AC20" s="310" t="e">
        <f t="shared" ca="1" si="25"/>
        <v>#N/A</v>
      </c>
      <c r="AD20" s="323" t="e">
        <f t="shared" ca="1" si="26"/>
        <v>#N/A</v>
      </c>
      <c r="AE20" s="324">
        <f t="shared" ca="1" si="5"/>
        <v>0.91300647333480556</v>
      </c>
      <c r="AG20" s="306">
        <f t="shared" ca="1" si="27"/>
        <v>101.45139581249585</v>
      </c>
      <c r="AH20" s="304">
        <f t="shared" ca="1" si="28"/>
        <v>111.22406580077588</v>
      </c>
    </row>
    <row r="21" spans="1:34" x14ac:dyDescent="0.2">
      <c r="A21" s="347">
        <f t="shared" ca="1" si="6"/>
        <v>0.01</v>
      </c>
      <c r="B21" s="304">
        <f t="shared" ca="1" si="7"/>
        <v>0.17</v>
      </c>
      <c r="D21" s="306">
        <f t="shared" ca="1" si="8"/>
        <v>8.8225612746042152</v>
      </c>
      <c r="E21" s="307">
        <f t="shared" ca="1" si="9"/>
        <v>100.84780542022983</v>
      </c>
      <c r="F21" s="304">
        <f t="shared" ca="1" si="10"/>
        <v>101.23298595576782</v>
      </c>
      <c r="G21" s="306">
        <f t="shared" ca="1" si="11"/>
        <v>1.2754294836653728</v>
      </c>
      <c r="H21" s="307">
        <f t="shared" ca="1" si="12"/>
        <v>14.579028170056075</v>
      </c>
      <c r="I21" s="304">
        <f t="shared" ca="1" si="13"/>
        <v>14.634711570478304</v>
      </c>
      <c r="J21" s="306">
        <f t="shared" ca="1" si="14"/>
        <v>9.2186396177224586E-2</v>
      </c>
      <c r="K21" s="307">
        <f t="shared" ca="1" si="15"/>
        <v>1.0537543647643548</v>
      </c>
      <c r="L21" s="304">
        <f t="shared" ca="1" si="0"/>
        <v>1.0577790851118551</v>
      </c>
      <c r="M21" s="306">
        <f t="shared" ca="1" si="16"/>
        <v>1.4835298641951802</v>
      </c>
      <c r="N21" s="304">
        <f t="shared" ca="1" si="17"/>
        <v>85</v>
      </c>
      <c r="P21" s="310">
        <f t="shared" ca="1" si="18"/>
        <v>2</v>
      </c>
      <c r="Q21" s="304">
        <f t="shared" ca="1" si="19"/>
        <v>868.72222222222217</v>
      </c>
      <c r="R21" s="306">
        <f t="shared" ca="1" si="20"/>
        <v>0.43597120807024753</v>
      </c>
      <c r="S21" s="307">
        <f t="shared" ca="1" si="21"/>
        <v>7.8207803286095299</v>
      </c>
      <c r="T21" s="304">
        <f t="shared" ca="1" si="1"/>
        <v>76.721855023659487</v>
      </c>
      <c r="U21" s="311">
        <f t="shared" ca="1" si="2"/>
        <v>6.6867502595651898</v>
      </c>
      <c r="V21" s="306">
        <f t="shared" ca="1" si="3"/>
        <v>1.2248709218911473</v>
      </c>
      <c r="W21" s="304">
        <f t="shared" ca="1" si="4"/>
        <v>0.65943953219592699</v>
      </c>
      <c r="Y21" s="314" t="str">
        <f t="shared" ca="1" si="22"/>
        <v/>
      </c>
      <c r="Z21" s="315" t="str">
        <f t="shared" ca="1" si="23"/>
        <v/>
      </c>
      <c r="AA21" s="316" t="str">
        <f t="shared" ca="1" si="24"/>
        <v/>
      </c>
      <c r="AC21" s="310" t="e">
        <f t="shared" ca="1" si="25"/>
        <v>#N/A</v>
      </c>
      <c r="AD21" s="323" t="e">
        <f t="shared" ca="1" si="26"/>
        <v>#N/A</v>
      </c>
      <c r="AE21" s="324">
        <f t="shared" ca="1" si="5"/>
        <v>1.0537543647643548</v>
      </c>
      <c r="AG21" s="306">
        <f t="shared" ca="1" si="27"/>
        <v>101.23298595464581</v>
      </c>
      <c r="AH21" s="304">
        <f t="shared" ca="1" si="28"/>
        <v>111.00565594292584</v>
      </c>
    </row>
    <row r="22" spans="1:34" x14ac:dyDescent="0.2">
      <c r="A22" s="347">
        <f t="shared" ca="1" si="6"/>
        <v>0.01</v>
      </c>
      <c r="B22" s="304">
        <f t="shared" ca="1" si="7"/>
        <v>0.18000000000000002</v>
      </c>
      <c r="D22" s="306">
        <f t="shared" ca="1" si="8"/>
        <v>8.8034237242811013</v>
      </c>
      <c r="E22" s="307">
        <f t="shared" ca="1" si="9"/>
        <v>100.62905196502078</v>
      </c>
      <c r="F22" s="304">
        <f t="shared" ca="1" si="10"/>
        <v>101.01339697608475</v>
      </c>
      <c r="G22" s="306">
        <f t="shared" ca="1" si="11"/>
        <v>1.3634637209081837</v>
      </c>
      <c r="H22" s="307">
        <f t="shared" ca="1" si="12"/>
        <v>15.585318689706282</v>
      </c>
      <c r="I22" s="304">
        <f t="shared" ca="1" si="13"/>
        <v>15.644845540239146</v>
      </c>
      <c r="J22" s="306">
        <f t="shared" ca="1" si="14"/>
        <v>0.10538086220009237</v>
      </c>
      <c r="K22" s="307">
        <f t="shared" ca="1" si="15"/>
        <v>1.2045760990631666</v>
      </c>
      <c r="L22" s="304">
        <f t="shared" ca="1" si="0"/>
        <v>1.2091768706654418</v>
      </c>
      <c r="M22" s="306">
        <f t="shared" ca="1" si="16"/>
        <v>1.4835298641951802</v>
      </c>
      <c r="N22" s="304">
        <f t="shared" ca="1" si="17"/>
        <v>85</v>
      </c>
      <c r="P22" s="310">
        <f t="shared" ca="1" si="18"/>
        <v>2</v>
      </c>
      <c r="Q22" s="304">
        <f t="shared" ca="1" si="19"/>
        <v>866.61111111111109</v>
      </c>
      <c r="R22" s="306">
        <f t="shared" ca="1" si="20"/>
        <v>0.43491173976387998</v>
      </c>
      <c r="S22" s="307">
        <f t="shared" ca="1" si="21"/>
        <v>7.8164312112118912</v>
      </c>
      <c r="T22" s="304">
        <f t="shared" ca="1" si="1"/>
        <v>76.679190181988659</v>
      </c>
      <c r="U22" s="311">
        <f t="shared" ca="1" si="2"/>
        <v>6.683031773600157</v>
      </c>
      <c r="V22" s="306">
        <f t="shared" ca="1" si="3"/>
        <v>1.2248524483147267</v>
      </c>
      <c r="W22" s="304">
        <f t="shared" ca="1" si="4"/>
        <v>0.75360305980685949</v>
      </c>
      <c r="Y22" s="314" t="str">
        <f t="shared" ca="1" si="22"/>
        <v/>
      </c>
      <c r="Z22" s="315" t="str">
        <f t="shared" ca="1" si="23"/>
        <v/>
      </c>
      <c r="AA22" s="316" t="str">
        <f t="shared" ca="1" si="24"/>
        <v/>
      </c>
      <c r="AC22" s="310" t="e">
        <f t="shared" ca="1" si="25"/>
        <v>#N/A</v>
      </c>
      <c r="AD22" s="323" t="e">
        <f t="shared" ca="1" si="26"/>
        <v>#N/A</v>
      </c>
      <c r="AE22" s="324">
        <f t="shared" ca="1" si="5"/>
        <v>1.2045760990631666</v>
      </c>
      <c r="AG22" s="306">
        <f t="shared" ca="1" si="27"/>
        <v>101.01339697496451</v>
      </c>
      <c r="AH22" s="304">
        <f t="shared" ca="1" si="28"/>
        <v>110.78606696324454</v>
      </c>
    </row>
    <row r="23" spans="1:34" x14ac:dyDescent="0.2">
      <c r="A23" s="347">
        <f t="shared" ca="1" si="6"/>
        <v>0.01</v>
      </c>
      <c r="B23" s="304">
        <f t="shared" ca="1" si="7"/>
        <v>0.19000000000000003</v>
      </c>
      <c r="D23" s="306">
        <f t="shared" ca="1" si="8"/>
        <v>8.7841837887994618</v>
      </c>
      <c r="E23" s="307">
        <f t="shared" ca="1" si="9"/>
        <v>100.40912822328885</v>
      </c>
      <c r="F23" s="304">
        <f t="shared" ca="1" si="10"/>
        <v>100.79263323971782</v>
      </c>
      <c r="G23" s="306">
        <f t="shared" ca="1" si="11"/>
        <v>1.4513055587961783</v>
      </c>
      <c r="H23" s="307">
        <f t="shared" ca="1" si="12"/>
        <v>16.589409971939169</v>
      </c>
      <c r="I23" s="304">
        <f t="shared" ca="1" si="13"/>
        <v>16.652771872636322</v>
      </c>
      <c r="J23" s="306">
        <f t="shared" ca="1" si="14"/>
        <v>0.11945470859861418</v>
      </c>
      <c r="K23" s="307">
        <f t="shared" ca="1" si="15"/>
        <v>1.3654497423713938</v>
      </c>
      <c r="L23" s="304">
        <f t="shared" ca="1" si="0"/>
        <v>1.3706649577298187</v>
      </c>
      <c r="M23" s="306">
        <f t="shared" ca="1" si="16"/>
        <v>1.4835298641951802</v>
      </c>
      <c r="N23" s="304">
        <f t="shared" ca="1" si="17"/>
        <v>85</v>
      </c>
      <c r="P23" s="310">
        <f t="shared" ca="1" si="18"/>
        <v>2</v>
      </c>
      <c r="Q23" s="304">
        <f t="shared" ca="1" si="19"/>
        <v>864.5</v>
      </c>
      <c r="R23" s="306">
        <f t="shared" ca="1" si="20"/>
        <v>0.43385227145751248</v>
      </c>
      <c r="S23" s="307">
        <f t="shared" ca="1" si="21"/>
        <v>7.8120926884973159</v>
      </c>
      <c r="T23" s="304">
        <f t="shared" ca="1" si="1"/>
        <v>76.636629274158679</v>
      </c>
      <c r="U23" s="311">
        <f t="shared" ca="1" si="2"/>
        <v>6.679322346066221</v>
      </c>
      <c r="V23" s="306">
        <f t="shared" ca="1" si="3"/>
        <v>1.2248327438255546</v>
      </c>
      <c r="W23" s="304">
        <f t="shared" ca="1" si="4"/>
        <v>0.85381970257125006</v>
      </c>
      <c r="Y23" s="314" t="str">
        <f t="shared" ca="1" si="22"/>
        <v/>
      </c>
      <c r="Z23" s="315" t="str">
        <f t="shared" ca="1" si="23"/>
        <v/>
      </c>
      <c r="AA23" s="316" t="str">
        <f t="shared" ca="1" si="24"/>
        <v/>
      </c>
      <c r="AC23" s="310" t="e">
        <f t="shared" ca="1" si="25"/>
        <v>#N/A</v>
      </c>
      <c r="AD23" s="323" t="e">
        <f t="shared" ca="1" si="26"/>
        <v>#N/A</v>
      </c>
      <c r="AE23" s="324">
        <f t="shared" ca="1" si="5"/>
        <v>1.3654497423713938</v>
      </c>
      <c r="AG23" s="306">
        <f t="shared" ca="1" si="27"/>
        <v>100.79263323859935</v>
      </c>
      <c r="AH23" s="304">
        <f t="shared" ca="1" si="28"/>
        <v>110.56530322687938</v>
      </c>
    </row>
    <row r="24" spans="1:34" x14ac:dyDescent="0.2">
      <c r="A24" s="347">
        <f t="shared" ca="1" si="6"/>
        <v>0.01</v>
      </c>
      <c r="B24" s="304">
        <f t="shared" ca="1" si="7"/>
        <v>0.20000000000000004</v>
      </c>
      <c r="D24" s="306">
        <f t="shared" ca="1" si="8"/>
        <v>8.7648418528952927</v>
      </c>
      <c r="E24" s="307">
        <f t="shared" ca="1" si="9"/>
        <v>100.1880385925971</v>
      </c>
      <c r="F24" s="304">
        <f t="shared" ca="1" si="10"/>
        <v>100.57069916102796</v>
      </c>
      <c r="G24" s="306">
        <f t="shared" ca="1" si="11"/>
        <v>1.5389539773251313</v>
      </c>
      <c r="H24" s="307">
        <f t="shared" ca="1" si="12"/>
        <v>17.591290357865141</v>
      </c>
      <c r="I24" s="304">
        <f t="shared" ca="1" si="13"/>
        <v>17.6584788642466</v>
      </c>
      <c r="J24" s="306">
        <f t="shared" ca="1" si="14"/>
        <v>0.13440600627922072</v>
      </c>
      <c r="K24" s="307">
        <f t="shared" ca="1" si="15"/>
        <v>1.5363532440204153</v>
      </c>
      <c r="L24" s="304">
        <f t="shared" ca="1" si="0"/>
        <v>1.5422212114142329</v>
      </c>
      <c r="M24" s="306">
        <f t="shared" ca="1" si="16"/>
        <v>1.4835298641951802</v>
      </c>
      <c r="N24" s="304">
        <f t="shared" ca="1" si="17"/>
        <v>85</v>
      </c>
      <c r="P24" s="310">
        <f t="shared" ca="1" si="18"/>
        <v>2</v>
      </c>
      <c r="Q24" s="304">
        <f t="shared" ca="1" si="19"/>
        <v>862.38888888888891</v>
      </c>
      <c r="R24" s="306">
        <f t="shared" ca="1" si="20"/>
        <v>0.43279280315114493</v>
      </c>
      <c r="S24" s="307">
        <f t="shared" ca="1" si="21"/>
        <v>7.8077647604658047</v>
      </c>
      <c r="T24" s="304">
        <f t="shared" ca="1" si="1"/>
        <v>76.594172300169546</v>
      </c>
      <c r="U24" s="311">
        <f t="shared" ca="1" si="2"/>
        <v>6.67562197696338</v>
      </c>
      <c r="V24" s="306">
        <f t="shared" ca="1" si="3"/>
        <v>1.2248118111838324</v>
      </c>
      <c r="W24" s="304">
        <f t="shared" ca="1" si="4"/>
        <v>0.96004649069890857</v>
      </c>
      <c r="Y24" s="314" t="str">
        <f t="shared" ca="1" si="22"/>
        <v/>
      </c>
      <c r="Z24" s="315" t="str">
        <f t="shared" ca="1" si="23"/>
        <v/>
      </c>
      <c r="AA24" s="316" t="str">
        <f t="shared" ca="1" si="24"/>
        <v/>
      </c>
      <c r="AC24" s="310" t="e">
        <f t="shared" ca="1" si="25"/>
        <v>#N/A</v>
      </c>
      <c r="AD24" s="323" t="e">
        <f t="shared" ca="1" si="26"/>
        <v>#N/A</v>
      </c>
      <c r="AE24" s="324">
        <f t="shared" ca="1" si="5"/>
        <v>1.5363532440204153</v>
      </c>
      <c r="AG24" s="306">
        <f t="shared" ca="1" si="27"/>
        <v>100.57069915991126</v>
      </c>
      <c r="AH24" s="304">
        <f t="shared" ca="1" si="28"/>
        <v>110.34336914819129</v>
      </c>
    </row>
    <row r="25" spans="1:34" x14ac:dyDescent="0.2">
      <c r="A25" s="347">
        <f t="shared" ca="1" si="6"/>
        <v>0.01</v>
      </c>
      <c r="B25" s="304">
        <f t="shared" ca="1" si="7"/>
        <v>0.21000000000000005</v>
      </c>
      <c r="D25" s="306">
        <f t="shared" ca="1" si="8"/>
        <v>8.7453983055604532</v>
      </c>
      <c r="E25" s="307">
        <f t="shared" ca="1" si="9"/>
        <v>99.965787519153508</v>
      </c>
      <c r="F25" s="304">
        <f t="shared" ca="1" si="10"/>
        <v>100.34759920320688</v>
      </c>
      <c r="G25" s="306">
        <f t="shared" ca="1" si="11"/>
        <v>1.6264079603807358</v>
      </c>
      <c r="H25" s="307">
        <f t="shared" ca="1" si="12"/>
        <v>18.590948233056675</v>
      </c>
      <c r="I25" s="304">
        <f t="shared" ca="1" si="13"/>
        <v>18.661954856278665</v>
      </c>
      <c r="J25" s="306">
        <f t="shared" ca="1" si="14"/>
        <v>0.15023281596775007</v>
      </c>
      <c r="K25" s="307">
        <f t="shared" ca="1" si="15"/>
        <v>1.7172644369750243</v>
      </c>
      <c r="L25" s="304">
        <f t="shared" ca="1" si="0"/>
        <v>1.7238233800168588</v>
      </c>
      <c r="M25" s="306">
        <f t="shared" ca="1" si="16"/>
        <v>1.4835298641951802</v>
      </c>
      <c r="N25" s="304">
        <f t="shared" ca="1" si="17"/>
        <v>85</v>
      </c>
      <c r="P25" s="310">
        <f t="shared" ca="1" si="18"/>
        <v>2</v>
      </c>
      <c r="Q25" s="304">
        <f t="shared" ca="1" si="19"/>
        <v>860.27777777777783</v>
      </c>
      <c r="R25" s="306">
        <f t="shared" ca="1" si="20"/>
        <v>0.43173333484477738</v>
      </c>
      <c r="S25" s="307">
        <f t="shared" ca="1" si="21"/>
        <v>7.8034474271173568</v>
      </c>
      <c r="T25" s="304">
        <f t="shared" ca="1" si="1"/>
        <v>76.551819260021276</v>
      </c>
      <c r="U25" s="311">
        <f t="shared" ca="1" si="2"/>
        <v>6.6719306662916358</v>
      </c>
      <c r="V25" s="306">
        <f t="shared" ca="1" si="3"/>
        <v>1.2247896531675275</v>
      </c>
      <c r="W25" s="304">
        <f t="shared" ca="1" si="4"/>
        <v>1.0722402278668013</v>
      </c>
      <c r="Y25" s="314" t="str">
        <f t="shared" ca="1" si="22"/>
        <v/>
      </c>
      <c r="Z25" s="315" t="str">
        <f t="shared" ca="1" si="23"/>
        <v/>
      </c>
      <c r="AA25" s="316" t="str">
        <f t="shared" ca="1" si="24"/>
        <v/>
      </c>
      <c r="AC25" s="310" t="e">
        <f t="shared" ca="1" si="25"/>
        <v>#N/A</v>
      </c>
      <c r="AD25" s="323" t="e">
        <f t="shared" ca="1" si="26"/>
        <v>#N/A</v>
      </c>
      <c r="AE25" s="324">
        <f t="shared" ca="1" si="5"/>
        <v>1.7172644369750243</v>
      </c>
      <c r="AG25" s="306">
        <f t="shared" ca="1" si="27"/>
        <v>100.34759920209194</v>
      </c>
      <c r="AH25" s="304">
        <f t="shared" ca="1" si="28"/>
        <v>110.12026919037197</v>
      </c>
    </row>
    <row r="26" spans="1:34" x14ac:dyDescent="0.2">
      <c r="A26" s="347">
        <f t="shared" ca="1" si="6"/>
        <v>0.01</v>
      </c>
      <c r="B26" s="304">
        <f t="shared" ca="1" si="7"/>
        <v>0.22000000000000006</v>
      </c>
      <c r="D26" s="306">
        <f t="shared" ca="1" si="8"/>
        <v>8.7258535400089112</v>
      </c>
      <c r="E26" s="307">
        <f t="shared" ca="1" si="9"/>
        <v>99.742379497425048</v>
      </c>
      <c r="F26" s="304">
        <f t="shared" ca="1" si="10"/>
        <v>100.1233378778896</v>
      </c>
      <c r="G26" s="306">
        <f t="shared" ca="1" si="11"/>
        <v>1.713666495780825</v>
      </c>
      <c r="H26" s="307">
        <f t="shared" ca="1" si="12"/>
        <v>19.588372028030925</v>
      </c>
      <c r="I26" s="304">
        <f t="shared" ca="1" si="13"/>
        <v>19.663188235057561</v>
      </c>
      <c r="J26" s="306">
        <f t="shared" ca="1" si="14"/>
        <v>0.16693318824855788</v>
      </c>
      <c r="K26" s="307">
        <f t="shared" ca="1" si="15"/>
        <v>1.9081610382804624</v>
      </c>
      <c r="L26" s="304">
        <f t="shared" ca="1" si="0"/>
        <v>1.9154490954735395</v>
      </c>
      <c r="M26" s="306">
        <f t="shared" ca="1" si="16"/>
        <v>1.4835298641951802</v>
      </c>
      <c r="N26" s="304">
        <f t="shared" ca="1" si="17"/>
        <v>85</v>
      </c>
      <c r="P26" s="310">
        <f t="shared" ca="1" si="18"/>
        <v>2</v>
      </c>
      <c r="Q26" s="304">
        <f t="shared" ca="1" si="19"/>
        <v>858.16666666666663</v>
      </c>
      <c r="R26" s="306">
        <f t="shared" ca="1" si="20"/>
        <v>0.43067386653840978</v>
      </c>
      <c r="S26" s="307">
        <f t="shared" ca="1" si="21"/>
        <v>7.7991406884519732</v>
      </c>
      <c r="T26" s="304">
        <f t="shared" ca="1" si="1"/>
        <v>76.509570153713867</v>
      </c>
      <c r="U26" s="311">
        <f t="shared" ca="1" si="2"/>
        <v>6.6682484140509892</v>
      </c>
      <c r="V26" s="306">
        <f t="shared" ca="1" si="3"/>
        <v>1.2247662725722892</v>
      </c>
      <c r="W26" s="304">
        <f t="shared" ca="1" si="4"/>
        <v>1.1903574948435536</v>
      </c>
      <c r="Y26" s="314" t="str">
        <f t="shared" ca="1" si="22"/>
        <v/>
      </c>
      <c r="Z26" s="315" t="str">
        <f t="shared" ca="1" si="23"/>
        <v/>
      </c>
      <c r="AA26" s="316" t="str">
        <f t="shared" ca="1" si="24"/>
        <v/>
      </c>
      <c r="AC26" s="310" t="e">
        <f t="shared" ca="1" si="25"/>
        <v>#N/A</v>
      </c>
      <c r="AD26" s="323" t="e">
        <f t="shared" ca="1" si="26"/>
        <v>#N/A</v>
      </c>
      <c r="AE26" s="324">
        <f t="shared" ca="1" si="5"/>
        <v>1.9081610382804624</v>
      </c>
      <c r="AG26" s="306">
        <f t="shared" ca="1" si="27"/>
        <v>100.12333787677642</v>
      </c>
      <c r="AH26" s="304">
        <f t="shared" ca="1" si="28"/>
        <v>109.89600786505645</v>
      </c>
    </row>
    <row r="27" spans="1:34" x14ac:dyDescent="0.2">
      <c r="A27" s="347">
        <f t="shared" ca="1" si="6"/>
        <v>0.01</v>
      </c>
      <c r="B27" s="304">
        <f t="shared" ca="1" si="7"/>
        <v>0.23000000000000007</v>
      </c>
      <c r="D27" s="306">
        <f t="shared" ca="1" si="8"/>
        <v>8.7062079536425525</v>
      </c>
      <c r="E27" s="307">
        <f t="shared" ca="1" si="9"/>
        <v>99.517819069747148</v>
      </c>
      <c r="F27" s="304">
        <f t="shared" ca="1" si="10"/>
        <v>99.897919744762433</v>
      </c>
      <c r="G27" s="306">
        <f t="shared" ca="1" si="11"/>
        <v>1.8007285753172506</v>
      </c>
      <c r="H27" s="307">
        <f t="shared" ca="1" si="12"/>
        <v>20.583550218728398</v>
      </c>
      <c r="I27" s="304">
        <f t="shared" ca="1" si="13"/>
        <v>20.662167432505186</v>
      </c>
      <c r="J27" s="306">
        <f t="shared" ca="1" si="14"/>
        <v>0.18450516360404826</v>
      </c>
      <c r="K27" s="307">
        <f t="shared" ca="1" si="15"/>
        <v>2.1090206495142589</v>
      </c>
      <c r="L27" s="304">
        <f t="shared" ca="1" si="0"/>
        <v>2.1170758738113529</v>
      </c>
      <c r="M27" s="306">
        <f t="shared" ca="1" si="16"/>
        <v>1.4835298641951802</v>
      </c>
      <c r="N27" s="304">
        <f t="shared" ca="1" si="17"/>
        <v>85</v>
      </c>
      <c r="P27" s="310">
        <f t="shared" ca="1" si="18"/>
        <v>2</v>
      </c>
      <c r="Q27" s="304">
        <f t="shared" ca="1" si="19"/>
        <v>856.05555555555554</v>
      </c>
      <c r="R27" s="306">
        <f t="shared" ca="1" si="20"/>
        <v>0.42961439823204223</v>
      </c>
      <c r="S27" s="307">
        <f t="shared" ca="1" si="21"/>
        <v>7.7948445444696528</v>
      </c>
      <c r="T27" s="304">
        <f t="shared" ca="1" si="1"/>
        <v>76.467424981247291</v>
      </c>
      <c r="U27" s="311">
        <f t="shared" ca="1" si="2"/>
        <v>6.6645752202414359</v>
      </c>
      <c r="V27" s="306">
        <f t="shared" ca="1" si="3"/>
        <v>1.2247416722113666</v>
      </c>
      <c r="W27" s="304">
        <f t="shared" ca="1" si="4"/>
        <v>1.3143546531323307</v>
      </c>
      <c r="Y27" s="314" t="str">
        <f t="shared" ca="1" si="22"/>
        <v/>
      </c>
      <c r="Z27" s="315" t="str">
        <f t="shared" ca="1" si="23"/>
        <v/>
      </c>
      <c r="AA27" s="316" t="str">
        <f t="shared" ca="1" si="24"/>
        <v/>
      </c>
      <c r="AC27" s="310" t="e">
        <f t="shared" ca="1" si="25"/>
        <v>#N/A</v>
      </c>
      <c r="AD27" s="323" t="e">
        <f t="shared" ca="1" si="26"/>
        <v>#N/A</v>
      </c>
      <c r="AE27" s="324">
        <f t="shared" ca="1" si="5"/>
        <v>2.1090206495142589</v>
      </c>
      <c r="AG27" s="306">
        <f t="shared" ca="1" si="27"/>
        <v>99.897919743650988</v>
      </c>
      <c r="AH27" s="304">
        <f t="shared" ca="1" si="28"/>
        <v>109.67058973193102</v>
      </c>
    </row>
    <row r="28" spans="1:34" x14ac:dyDescent="0.2">
      <c r="A28" s="347">
        <f t="shared" ca="1" si="6"/>
        <v>0.01</v>
      </c>
      <c r="B28" s="304">
        <f t="shared" ca="1" si="7"/>
        <v>0.24000000000000007</v>
      </c>
      <c r="D28" s="306">
        <f t="shared" ca="1" si="8"/>
        <v>8.6864619480166034</v>
      </c>
      <c r="E28" s="307">
        <f t="shared" ca="1" si="9"/>
        <v>99.29211082592812</v>
      </c>
      <c r="F28" s="304">
        <f t="shared" ca="1" si="10"/>
        <v>99.671349411165949</v>
      </c>
      <c r="G28" s="306">
        <f t="shared" ca="1" si="11"/>
        <v>1.8875931947974167</v>
      </c>
      <c r="H28" s="307">
        <f t="shared" ca="1" si="12"/>
        <v>21.576471326987679</v>
      </c>
      <c r="I28" s="304">
        <f t="shared" ca="1" si="13"/>
        <v>21.658880926616845</v>
      </c>
      <c r="J28" s="306">
        <f t="shared" ca="1" si="14"/>
        <v>0.20294677245462159</v>
      </c>
      <c r="K28" s="307">
        <f t="shared" ca="1" si="15"/>
        <v>2.3198207572428391</v>
      </c>
      <c r="L28" s="304">
        <f t="shared" ca="1" si="0"/>
        <v>2.3286811156069627</v>
      </c>
      <c r="M28" s="306">
        <f t="shared" ca="1" si="16"/>
        <v>1.4835298641951802</v>
      </c>
      <c r="N28" s="304">
        <f t="shared" ca="1" si="17"/>
        <v>85</v>
      </c>
      <c r="P28" s="310">
        <f t="shared" ca="1" si="18"/>
        <v>2</v>
      </c>
      <c r="Q28" s="304">
        <f t="shared" ca="1" si="19"/>
        <v>853.94444444444446</v>
      </c>
      <c r="R28" s="306">
        <f t="shared" ca="1" si="20"/>
        <v>0.42855492992567468</v>
      </c>
      <c r="S28" s="307">
        <f t="shared" ca="1" si="21"/>
        <v>7.7905589951703957</v>
      </c>
      <c r="T28" s="304">
        <f t="shared" ca="1" si="1"/>
        <v>76.425383742621591</v>
      </c>
      <c r="U28" s="311">
        <f t="shared" ca="1" si="2"/>
        <v>6.660911084862982</v>
      </c>
      <c r="V28" s="306">
        <f t="shared" ca="1" si="3"/>
        <v>1.224715854915521</v>
      </c>
      <c r="W28" s="304">
        <f t="shared" ca="1" si="4"/>
        <v>1.4441878486315454</v>
      </c>
      <c r="Y28" s="314" t="str">
        <f t="shared" ca="1" si="22"/>
        <v/>
      </c>
      <c r="Z28" s="315" t="str">
        <f t="shared" ca="1" si="23"/>
        <v/>
      </c>
      <c r="AA28" s="316" t="str">
        <f t="shared" ca="1" si="24"/>
        <v/>
      </c>
      <c r="AC28" s="310" t="e">
        <f t="shared" ca="1" si="25"/>
        <v>#N/A</v>
      </c>
      <c r="AD28" s="323" t="e">
        <f t="shared" ca="1" si="26"/>
        <v>#N/A</v>
      </c>
      <c r="AE28" s="324">
        <f t="shared" ca="1" si="5"/>
        <v>2.3198207572428391</v>
      </c>
      <c r="AG28" s="306">
        <f t="shared" ca="1" si="27"/>
        <v>99.671349410056266</v>
      </c>
      <c r="AH28" s="304">
        <f t="shared" ca="1" si="28"/>
        <v>109.44401939833629</v>
      </c>
    </row>
    <row r="29" spans="1:34" x14ac:dyDescent="0.2">
      <c r="A29" s="347">
        <f t="shared" ca="1" si="6"/>
        <v>0.01</v>
      </c>
      <c r="B29" s="304">
        <f t="shared" ca="1" si="7"/>
        <v>0.25000000000000006</v>
      </c>
      <c r="D29" s="306">
        <f t="shared" ca="1" si="8"/>
        <v>8.6666159288046476</v>
      </c>
      <c r="E29" s="307">
        <f t="shared" ca="1" si="9"/>
        <v>99.065259402849676</v>
      </c>
      <c r="F29" s="304">
        <f t="shared" ca="1" si="10"/>
        <v>99.44363153169391</v>
      </c>
      <c r="G29" s="306">
        <f t="shared" ca="1" si="11"/>
        <v>1.9742593540854632</v>
      </c>
      <c r="H29" s="307">
        <f t="shared" ca="1" si="12"/>
        <v>22.567123921016176</v>
      </c>
      <c r="I29" s="304">
        <f t="shared" ca="1" si="13"/>
        <v>22.653317241933781</v>
      </c>
      <c r="J29" s="306">
        <f t="shared" ca="1" si="14"/>
        <v>0.22225603519903597</v>
      </c>
      <c r="K29" s="307">
        <f t="shared" ca="1" si="15"/>
        <v>2.5405387334828582</v>
      </c>
      <c r="L29" s="304">
        <f t="shared" ca="1" si="0"/>
        <v>2.5502421064497152</v>
      </c>
      <c r="M29" s="306">
        <f t="shared" ca="1" si="16"/>
        <v>1.4835298641951802</v>
      </c>
      <c r="N29" s="304">
        <f t="shared" ca="1" si="17"/>
        <v>85</v>
      </c>
      <c r="P29" s="310">
        <f t="shared" ca="1" si="18"/>
        <v>2</v>
      </c>
      <c r="Q29" s="304">
        <f t="shared" ca="1" si="19"/>
        <v>851.83333333333337</v>
      </c>
      <c r="R29" s="306">
        <f t="shared" ca="1" si="20"/>
        <v>0.42749546161930718</v>
      </c>
      <c r="S29" s="307">
        <f t="shared" ca="1" si="21"/>
        <v>7.7862840405542029</v>
      </c>
      <c r="T29" s="304">
        <f t="shared" ca="1" si="1"/>
        <v>76.383446437836739</v>
      </c>
      <c r="U29" s="311">
        <f t="shared" ca="1" si="2"/>
        <v>6.6572560079156231</v>
      </c>
      <c r="V29" s="306">
        <f t="shared" ca="1" si="3"/>
        <v>1.2246888235329418</v>
      </c>
      <c r="W29" s="304">
        <f t="shared" ca="1" si="4"/>
        <v>1.5798130153128633</v>
      </c>
      <c r="Y29" s="314" t="str">
        <f t="shared" ca="1" si="22"/>
        <v/>
      </c>
      <c r="Z29" s="315" t="str">
        <f t="shared" ca="1" si="23"/>
        <v/>
      </c>
      <c r="AA29" s="316" t="str">
        <f t="shared" ca="1" si="24"/>
        <v/>
      </c>
      <c r="AC29" s="310" t="e">
        <f t="shared" ca="1" si="25"/>
        <v>#N/A</v>
      </c>
      <c r="AD29" s="323" t="e">
        <f t="shared" ca="1" si="26"/>
        <v>#N/A</v>
      </c>
      <c r="AE29" s="324">
        <f t="shared" ca="1" si="5"/>
        <v>2.5405387334828582</v>
      </c>
      <c r="AG29" s="306">
        <f t="shared" ca="1" si="27"/>
        <v>99.443631530585932</v>
      </c>
      <c r="AH29" s="304">
        <f t="shared" ca="1" si="28"/>
        <v>109.21630151886596</v>
      </c>
    </row>
    <row r="30" spans="1:34" x14ac:dyDescent="0.2">
      <c r="A30" s="347">
        <f t="shared" ca="1" si="6"/>
        <v>0.01</v>
      </c>
      <c r="B30" s="304">
        <f t="shared" ca="1" si="7"/>
        <v>0.26000000000000006</v>
      </c>
      <c r="D30" s="306">
        <f t="shared" ca="1" si="8"/>
        <v>8.6466703057632479</v>
      </c>
      <c r="E30" s="307">
        <f t="shared" ca="1" si="9"/>
        <v>98.837269484062261</v>
      </c>
      <c r="F30" s="304">
        <f t="shared" ca="1" si="10"/>
        <v>99.214770807787048</v>
      </c>
      <c r="G30" s="306">
        <f t="shared" ca="1" si="11"/>
        <v>2.0607260571430954</v>
      </c>
      <c r="H30" s="307">
        <f t="shared" ca="1" si="12"/>
        <v>23.5554966158568</v>
      </c>
      <c r="I30" s="304">
        <f t="shared" ca="1" si="13"/>
        <v>23.645464950011654</v>
      </c>
      <c r="J30" s="306">
        <f t="shared" ca="1" si="14"/>
        <v>0.24243096225517877</v>
      </c>
      <c r="K30" s="307">
        <f t="shared" ca="1" si="15"/>
        <v>2.7711518361672232</v>
      </c>
      <c r="L30" s="304">
        <f t="shared" ca="1" si="0"/>
        <v>2.7817360174094419</v>
      </c>
      <c r="M30" s="306">
        <f t="shared" ca="1" si="16"/>
        <v>1.4835298641951802</v>
      </c>
      <c r="N30" s="304">
        <f t="shared" ca="1" si="17"/>
        <v>85</v>
      </c>
      <c r="P30" s="310">
        <f t="shared" ca="1" si="18"/>
        <v>2</v>
      </c>
      <c r="Q30" s="304">
        <f t="shared" ca="1" si="19"/>
        <v>849.72222222222217</v>
      </c>
      <c r="R30" s="306">
        <f t="shared" ca="1" si="20"/>
        <v>0.42643599331293958</v>
      </c>
      <c r="S30" s="307">
        <f t="shared" ca="1" si="21"/>
        <v>7.7820196806210733</v>
      </c>
      <c r="T30" s="304">
        <f t="shared" ca="1" si="1"/>
        <v>76.341613066892734</v>
      </c>
      <c r="U30" s="311">
        <f t="shared" ca="1" si="2"/>
        <v>6.6536099893993601</v>
      </c>
      <c r="V30" s="306">
        <f t="shared" ca="1" si="3"/>
        <v>1.2246605809291586</v>
      </c>
      <c r="W30" s="304">
        <f t="shared" ca="1" si="4"/>
        <v>1.7211858789159509</v>
      </c>
      <c r="Y30" s="314" t="str">
        <f t="shared" ca="1" si="22"/>
        <v/>
      </c>
      <c r="Z30" s="315" t="str">
        <f t="shared" ca="1" si="23"/>
        <v/>
      </c>
      <c r="AA30" s="316" t="str">
        <f t="shared" ca="1" si="24"/>
        <v/>
      </c>
      <c r="AC30" s="310" t="e">
        <f t="shared" ca="1" si="25"/>
        <v>#N/A</v>
      </c>
      <c r="AD30" s="323" t="e">
        <f t="shared" ca="1" si="26"/>
        <v>#N/A</v>
      </c>
      <c r="AE30" s="324">
        <f t="shared" ca="1" si="5"/>
        <v>2.7711518361672232</v>
      </c>
      <c r="AG30" s="306">
        <f t="shared" ca="1" si="27"/>
        <v>99.214770806680818</v>
      </c>
      <c r="AH30" s="304">
        <f t="shared" ca="1" si="28"/>
        <v>108.98744079496085</v>
      </c>
    </row>
    <row r="31" spans="1:34" x14ac:dyDescent="0.2">
      <c r="A31" s="347">
        <f t="shared" ca="1" si="6"/>
        <v>0.01</v>
      </c>
      <c r="B31" s="304">
        <f t="shared" ca="1" si="7"/>
        <v>0.27000000000000007</v>
      </c>
      <c r="D31" s="306">
        <f t="shared" ca="1" si="8"/>
        <v>8.6266254926961903</v>
      </c>
      <c r="E31" s="307">
        <f t="shared" ca="1" si="9"/>
        <v>98.608145799376516</v>
      </c>
      <c r="F31" s="304">
        <f t="shared" ca="1" si="10"/>
        <v>98.984771987323043</v>
      </c>
      <c r="G31" s="306">
        <f t="shared" ca="1" si="11"/>
        <v>2.1469923120700574</v>
      </c>
      <c r="H31" s="307">
        <f t="shared" ca="1" si="12"/>
        <v>24.541578073850566</v>
      </c>
      <c r="I31" s="304">
        <f t="shared" ca="1" si="13"/>
        <v>24.635312669884886</v>
      </c>
      <c r="J31" s="306">
        <f t="shared" ca="1" si="14"/>
        <v>0.26346955410124451</v>
      </c>
      <c r="K31" s="307">
        <f t="shared" ca="1" si="15"/>
        <v>3.0116372096157602</v>
      </c>
      <c r="L31" s="304">
        <f t="shared" ca="1" si="0"/>
        <v>3.0231399055089248</v>
      </c>
      <c r="M31" s="306">
        <f t="shared" ca="1" si="16"/>
        <v>1.4835298641951802</v>
      </c>
      <c r="N31" s="304">
        <f t="shared" ca="1" si="17"/>
        <v>85</v>
      </c>
      <c r="P31" s="310">
        <f t="shared" ca="1" si="18"/>
        <v>2</v>
      </c>
      <c r="Q31" s="304">
        <f t="shared" ca="1" si="19"/>
        <v>847.61111111111109</v>
      </c>
      <c r="R31" s="306">
        <f t="shared" ca="1" si="20"/>
        <v>0.42537652500657203</v>
      </c>
      <c r="S31" s="307">
        <f t="shared" ca="1" si="21"/>
        <v>7.7777659153710079</v>
      </c>
      <c r="T31" s="304">
        <f t="shared" ca="1" si="1"/>
        <v>76.299883629789591</v>
      </c>
      <c r="U31" s="311">
        <f t="shared" ca="1" si="2"/>
        <v>6.6499730293141939</v>
      </c>
      <c r="V31" s="306">
        <f t="shared" ca="1" si="3"/>
        <v>1.2246311299869548</v>
      </c>
      <c r="W31" s="304">
        <f t="shared" ca="1" si="4"/>
        <v>1.8682619606594195</v>
      </c>
      <c r="Y31" s="314" t="str">
        <f t="shared" ca="1" si="22"/>
        <v/>
      </c>
      <c r="Z31" s="315" t="str">
        <f t="shared" ca="1" si="23"/>
        <v/>
      </c>
      <c r="AA31" s="316" t="str">
        <f t="shared" ca="1" si="24"/>
        <v/>
      </c>
      <c r="AC31" s="310" t="e">
        <f t="shared" ca="1" si="25"/>
        <v>#N/A</v>
      </c>
      <c r="AD31" s="323" t="e">
        <f t="shared" ca="1" si="26"/>
        <v>#N/A</v>
      </c>
      <c r="AE31" s="324">
        <f t="shared" ca="1" si="5"/>
        <v>3.0116372096157602</v>
      </c>
      <c r="AG31" s="306">
        <f t="shared" ca="1" si="27"/>
        <v>98.984771986218533</v>
      </c>
      <c r="AH31" s="304">
        <f t="shared" ca="1" si="28"/>
        <v>108.75744197449856</v>
      </c>
    </row>
    <row r="32" spans="1:34" x14ac:dyDescent="0.2">
      <c r="A32" s="347">
        <f t="shared" ca="1" si="6"/>
        <v>0.01</v>
      </c>
      <c r="B32" s="304">
        <f t="shared" ca="1" si="7"/>
        <v>0.28000000000000008</v>
      </c>
      <c r="D32" s="306">
        <f t="shared" ca="1" si="8"/>
        <v>8.6064819074183347</v>
      </c>
      <c r="E32" s="307">
        <f t="shared" ca="1" si="9"/>
        <v>98.377893124450026</v>
      </c>
      <c r="F32" s="304">
        <f t="shared" ca="1" si="10"/>
        <v>98.753639864201617</v>
      </c>
      <c r="G32" s="306">
        <f t="shared" ca="1" si="11"/>
        <v>2.2330571311442409</v>
      </c>
      <c r="H32" s="307">
        <f t="shared" ca="1" si="12"/>
        <v>25.525357005095067</v>
      </c>
      <c r="I32" s="304">
        <f t="shared" ca="1" si="13"/>
        <v>25.622849068526904</v>
      </c>
      <c r="J32" s="306">
        <f t="shared" ca="1" si="14"/>
        <v>0.28536980131731599</v>
      </c>
      <c r="K32" s="307">
        <f t="shared" ca="1" si="15"/>
        <v>3.2619718850104884</v>
      </c>
      <c r="L32" s="304">
        <f t="shared" ca="1" si="0"/>
        <v>3.2744307142009834</v>
      </c>
      <c r="M32" s="306">
        <f t="shared" ca="1" si="16"/>
        <v>1.4835298641951802</v>
      </c>
      <c r="N32" s="304">
        <f t="shared" ca="1" si="17"/>
        <v>85</v>
      </c>
      <c r="P32" s="310">
        <f t="shared" ca="1" si="18"/>
        <v>2</v>
      </c>
      <c r="Q32" s="304">
        <f t="shared" ca="1" si="19"/>
        <v>845.5</v>
      </c>
      <c r="R32" s="306">
        <f t="shared" ca="1" si="20"/>
        <v>0.42431705670020448</v>
      </c>
      <c r="S32" s="307">
        <f t="shared" ca="1" si="21"/>
        <v>7.7735227448040058</v>
      </c>
      <c r="T32" s="304">
        <f t="shared" ca="1" si="1"/>
        <v>76.258258126527295</v>
      </c>
      <c r="U32" s="311">
        <f t="shared" ca="1" si="2"/>
        <v>6.6463451276601235</v>
      </c>
      <c r="V32" s="306">
        <f t="shared" ca="1" si="3"/>
        <v>1.2246004736062794</v>
      </c>
      <c r="W32" s="304">
        <f t="shared" ca="1" si="4"/>
        <v>2.0209965809674282</v>
      </c>
      <c r="Y32" s="314" t="str">
        <f t="shared" ca="1" si="22"/>
        <v/>
      </c>
      <c r="Z32" s="315" t="str">
        <f t="shared" ca="1" si="23"/>
        <v/>
      </c>
      <c r="AA32" s="316" t="str">
        <f t="shared" ca="1" si="24"/>
        <v/>
      </c>
      <c r="AC32" s="310" t="e">
        <f t="shared" ca="1" si="25"/>
        <v>#N/A</v>
      </c>
      <c r="AD32" s="323" t="e">
        <f t="shared" ca="1" si="26"/>
        <v>#N/A</v>
      </c>
      <c r="AE32" s="324">
        <f t="shared" ca="1" si="5"/>
        <v>3.2619718850104884</v>
      </c>
      <c r="AG32" s="306">
        <f t="shared" ca="1" si="27"/>
        <v>98.753639863098826</v>
      </c>
      <c r="AH32" s="304">
        <f t="shared" ca="1" si="28"/>
        <v>108.52630985137885</v>
      </c>
    </row>
    <row r="33" spans="1:34" x14ac:dyDescent="0.2">
      <c r="A33" s="347">
        <f t="shared" ca="1" si="6"/>
        <v>0.01</v>
      </c>
      <c r="B33" s="304">
        <f t="shared" ca="1" si="7"/>
        <v>0.29000000000000009</v>
      </c>
      <c r="D33" s="306">
        <f t="shared" ca="1" si="8"/>
        <v>8.5862399717190865</v>
      </c>
      <c r="E33" s="307">
        <f t="shared" ca="1" si="9"/>
        <v>98.146516280369852</v>
      </c>
      <c r="F33" s="304">
        <f t="shared" ca="1" si="10"/>
        <v>98.521379277925519</v>
      </c>
      <c r="G33" s="306">
        <f t="shared" ca="1" si="11"/>
        <v>2.3189195308614319</v>
      </c>
      <c r="H33" s="307">
        <f t="shared" ca="1" si="12"/>
        <v>26.506822167898765</v>
      </c>
      <c r="I33" s="304">
        <f t="shared" ca="1" si="13"/>
        <v>26.608062861306156</v>
      </c>
      <c r="J33" s="306">
        <f t="shared" ca="1" si="14"/>
        <v>0.30812968462734436</v>
      </c>
      <c r="K33" s="307">
        <f t="shared" ca="1" si="15"/>
        <v>3.5221327808754577</v>
      </c>
      <c r="L33" s="304">
        <f t="shared" ca="1" si="0"/>
        <v>3.535585273850149</v>
      </c>
      <c r="M33" s="306">
        <f t="shared" ca="1" si="16"/>
        <v>1.4835298641951802</v>
      </c>
      <c r="N33" s="304">
        <f t="shared" ca="1" si="17"/>
        <v>85</v>
      </c>
      <c r="P33" s="310">
        <f t="shared" ca="1" si="18"/>
        <v>2</v>
      </c>
      <c r="Q33" s="304">
        <f t="shared" ca="1" si="19"/>
        <v>843.38888888888891</v>
      </c>
      <c r="R33" s="306">
        <f t="shared" ca="1" si="20"/>
        <v>0.42325758839383693</v>
      </c>
      <c r="S33" s="307">
        <f t="shared" ca="1" si="21"/>
        <v>7.7692901689200671</v>
      </c>
      <c r="T33" s="304">
        <f t="shared" ca="1" si="1"/>
        <v>76.216736557105861</v>
      </c>
      <c r="U33" s="311">
        <f t="shared" ca="1" si="2"/>
        <v>6.64272628443715</v>
      </c>
      <c r="V33" s="306">
        <f t="shared" ca="1" si="3"/>
        <v>1.2245686147041575</v>
      </c>
      <c r="W33" s="304">
        <f t="shared" ca="1" si="4"/>
        <v>2.1793448632113797</v>
      </c>
      <c r="Y33" s="314" t="str">
        <f t="shared" ca="1" si="22"/>
        <v/>
      </c>
      <c r="Z33" s="315" t="str">
        <f t="shared" ca="1" si="23"/>
        <v/>
      </c>
      <c r="AA33" s="316" t="str">
        <f t="shared" ca="1" si="24"/>
        <v/>
      </c>
      <c r="AC33" s="310" t="e">
        <f t="shared" ca="1" si="25"/>
        <v>#N/A</v>
      </c>
      <c r="AD33" s="323" t="e">
        <f t="shared" ca="1" si="26"/>
        <v>#N/A</v>
      </c>
      <c r="AE33" s="324">
        <f t="shared" ca="1" si="5"/>
        <v>3.5221327808754577</v>
      </c>
      <c r="AG33" s="306">
        <f t="shared" ca="1" si="27"/>
        <v>98.521379276824433</v>
      </c>
      <c r="AH33" s="304">
        <f t="shared" ca="1" si="28"/>
        <v>108.29404926510446</v>
      </c>
    </row>
    <row r="34" spans="1:34" x14ac:dyDescent="0.2">
      <c r="A34" s="347">
        <f t="shared" ca="1" si="6"/>
        <v>0.01</v>
      </c>
      <c r="B34" s="304">
        <f t="shared" ca="1" si="7"/>
        <v>0.3000000000000001</v>
      </c>
      <c r="D34" s="306">
        <f t="shared" ca="1" si="8"/>
        <v>8.5659001113255151</v>
      </c>
      <c r="E34" s="307">
        <f t="shared" ca="1" si="9"/>
        <v>97.914020133230849</v>
      </c>
      <c r="F34" s="304">
        <f t="shared" ca="1" si="10"/>
        <v>98.287995113177189</v>
      </c>
      <c r="G34" s="306">
        <f t="shared" ca="1" si="11"/>
        <v>2.4045785319746869</v>
      </c>
      <c r="H34" s="307">
        <f t="shared" ca="1" si="12"/>
        <v>27.485962369231075</v>
      </c>
      <c r="I34" s="304">
        <f t="shared" ca="1" si="13"/>
        <v>27.59094281243793</v>
      </c>
      <c r="J34" s="306">
        <f t="shared" ca="1" si="14"/>
        <v>0.33174717494152495</v>
      </c>
      <c r="K34" s="307">
        <f t="shared" ca="1" si="15"/>
        <v>3.7920967035611071</v>
      </c>
      <c r="L34" s="304">
        <f t="shared" ca="1" si="0"/>
        <v>3.8065803022188693</v>
      </c>
      <c r="M34" s="306">
        <f t="shared" ca="1" si="16"/>
        <v>1.4835298641951802</v>
      </c>
      <c r="N34" s="304">
        <f t="shared" ca="1" si="17"/>
        <v>85</v>
      </c>
      <c r="P34" s="310">
        <f t="shared" ca="1" si="18"/>
        <v>2</v>
      </c>
      <c r="Q34" s="304">
        <f t="shared" ca="1" si="19"/>
        <v>841.27777777777771</v>
      </c>
      <c r="R34" s="306">
        <f t="shared" ca="1" si="20"/>
        <v>0.42219812008746938</v>
      </c>
      <c r="S34" s="307">
        <f t="shared" ca="1" si="21"/>
        <v>7.7650681877191925</v>
      </c>
      <c r="T34" s="304">
        <f t="shared" ca="1" si="1"/>
        <v>76.175318921525289</v>
      </c>
      <c r="U34" s="311">
        <f t="shared" ca="1" si="2"/>
        <v>6.6391164996452732</v>
      </c>
      <c r="V34" s="306">
        <f t="shared" ca="1" si="3"/>
        <v>1.2245355562146014</v>
      </c>
      <c r="W34" s="304">
        <f t="shared" ca="1" si="4"/>
        <v>2.3432617374661713</v>
      </c>
      <c r="Y34" s="314" t="str">
        <f t="shared" ca="1" si="22"/>
        <v>Sortie de rampe</v>
      </c>
      <c r="Z34" s="315" t="str">
        <f t="shared" ca="1" si="23"/>
        <v/>
      </c>
      <c r="AA34" s="316" t="str">
        <f t="shared" ca="1" si="24"/>
        <v/>
      </c>
      <c r="AC34" s="310" t="e">
        <f t="shared" ca="1" si="25"/>
        <v>#N/A</v>
      </c>
      <c r="AD34" s="323" t="e">
        <f t="shared" ca="1" si="26"/>
        <v>#N/A</v>
      </c>
      <c r="AE34" s="324">
        <f t="shared" ca="1" si="5"/>
        <v>3.7920967035611071</v>
      </c>
      <c r="AG34" s="306">
        <f t="shared" ca="1" si="27"/>
        <v>98.287995112077823</v>
      </c>
      <c r="AH34" s="304">
        <f t="shared" ca="1" si="28"/>
        <v>108.06066510035785</v>
      </c>
    </row>
    <row r="35" spans="1:34" x14ac:dyDescent="0.2">
      <c r="A35" s="347">
        <f t="shared" ca="1" si="6"/>
        <v>0.01</v>
      </c>
      <c r="B35" s="304">
        <f t="shared" ca="1" si="7"/>
        <v>0.31000000000000011</v>
      </c>
      <c r="D35" s="306">
        <f t="shared" ca="1" si="8"/>
        <v>8.545462755865092</v>
      </c>
      <c r="E35" s="307">
        <f t="shared" ca="1" si="9"/>
        <v>97.680409593709967</v>
      </c>
      <c r="F35" s="304">
        <f t="shared" ca="1" si="10"/>
        <v>98.053492299391465</v>
      </c>
      <c r="G35" s="306">
        <f t="shared" ca="1" si="11"/>
        <v>2.4900331595333376</v>
      </c>
      <c r="H35" s="307">
        <f t="shared" ca="1" si="12"/>
        <v>28.462766465168176</v>
      </c>
      <c r="I35" s="304">
        <f t="shared" ca="1" si="13"/>
        <v>28.571477735431845</v>
      </c>
      <c r="J35" s="306">
        <f t="shared" ca="1" si="14"/>
        <v>0.35622023339906506</v>
      </c>
      <c r="K35" s="307">
        <f t="shared" ca="1" si="15"/>
        <v>4.0718403477331035</v>
      </c>
      <c r="L35" s="304">
        <f t="shared" ca="1" si="0"/>
        <v>4.0873924049582184</v>
      </c>
      <c r="M35" s="306">
        <f t="shared" ca="1" si="16"/>
        <v>1.4835298641951802</v>
      </c>
      <c r="N35" s="304">
        <f t="shared" ca="1" si="17"/>
        <v>85</v>
      </c>
      <c r="P35" s="310">
        <f t="shared" ca="1" si="18"/>
        <v>2</v>
      </c>
      <c r="Q35" s="304">
        <f t="shared" ca="1" si="19"/>
        <v>839.16666666666663</v>
      </c>
      <c r="R35" s="306">
        <f t="shared" ca="1" si="20"/>
        <v>0.42113865178110182</v>
      </c>
      <c r="S35" s="307">
        <f t="shared" ca="1" si="21"/>
        <v>7.7608568012013812</v>
      </c>
      <c r="T35" s="304">
        <f t="shared" ca="1" si="1"/>
        <v>76.13400521978555</v>
      </c>
      <c r="U35" s="311">
        <f t="shared" ca="1" si="2"/>
        <v>0</v>
      </c>
      <c r="V35" s="306">
        <f t="shared" ca="1" si="3"/>
        <v>1.2245013010885204</v>
      </c>
      <c r="W35" s="304">
        <f t="shared" ca="1" si="4"/>
        <v>2.5127019442804372</v>
      </c>
      <c r="Y35" s="314" t="str">
        <f t="shared" ca="1" si="22"/>
        <v/>
      </c>
      <c r="Z35" s="315" t="str">
        <f t="shared" ca="1" si="23"/>
        <v/>
      </c>
      <c r="AA35" s="316" t="str">
        <f t="shared" ca="1" si="24"/>
        <v/>
      </c>
      <c r="AC35" s="310" t="e">
        <f t="shared" ca="1" si="25"/>
        <v>#N/A</v>
      </c>
      <c r="AD35" s="323" t="e">
        <f t="shared" ca="1" si="26"/>
        <v>#N/A</v>
      </c>
      <c r="AE35" s="324">
        <f t="shared" ca="1" si="5"/>
        <v>4.0718403477331035</v>
      </c>
      <c r="AG35" s="306">
        <f t="shared" ca="1" si="27"/>
        <v>98.053492298293818</v>
      </c>
      <c r="AH35" s="304">
        <f t="shared" ca="1" si="28"/>
        <v>107.82616228657385</v>
      </c>
    </row>
    <row r="36" spans="1:34" x14ac:dyDescent="0.2">
      <c r="A36" s="347">
        <f t="shared" ca="1" si="6"/>
        <v>0.01</v>
      </c>
      <c r="B36" s="304">
        <f t="shared" ca="1" si="7"/>
        <v>0.32000000000000012</v>
      </c>
      <c r="D36" s="306">
        <f t="shared" ca="1" si="8"/>
        <v>9.3771339316077231</v>
      </c>
      <c r="E36" s="307">
        <f t="shared" ca="1" si="9"/>
        <v>97.371131288274412</v>
      </c>
      <c r="F36" s="304">
        <f t="shared" ca="1" si="10"/>
        <v>97.821612382589976</v>
      </c>
      <c r="G36" s="306">
        <f t="shared" ca="1" si="11"/>
        <v>2.5838044988494149</v>
      </c>
      <c r="H36" s="307">
        <f t="shared" ca="1" si="12"/>
        <v>29.436477778050921</v>
      </c>
      <c r="I36" s="304">
        <f t="shared" ca="1" si="13"/>
        <v>29.549657691180794</v>
      </c>
      <c r="J36" s="306">
        <f t="shared" ca="1" si="14"/>
        <v>0.38158942169097881</v>
      </c>
      <c r="K36" s="307">
        <f t="shared" ca="1" si="15"/>
        <v>4.3613365689491994</v>
      </c>
      <c r="L36" s="304">
        <f t="shared" ca="1" si="0"/>
        <v>4.3779980761073922</v>
      </c>
      <c r="M36" s="306">
        <f t="shared" ca="1" si="16"/>
        <v>1.483245114427854</v>
      </c>
      <c r="N36" s="304">
        <f t="shared" ca="1" si="17"/>
        <v>84.983685040114878</v>
      </c>
      <c r="P36" s="310">
        <f t="shared" ca="1" si="18"/>
        <v>2</v>
      </c>
      <c r="Q36" s="304">
        <f t="shared" ca="1" si="19"/>
        <v>837.05555555555554</v>
      </c>
      <c r="R36" s="306">
        <f t="shared" ca="1" si="20"/>
        <v>0.42007918347473427</v>
      </c>
      <c r="S36" s="307">
        <f t="shared" ca="1" si="21"/>
        <v>7.7566560093666341</v>
      </c>
      <c r="T36" s="304">
        <f t="shared" ca="1" si="1"/>
        <v>76.092795451886687</v>
      </c>
      <c r="U36" s="311">
        <f t="shared" ca="1" si="2"/>
        <v>0</v>
      </c>
      <c r="V36" s="306">
        <f t="shared" ca="1" si="3"/>
        <v>1.2244658527501007</v>
      </c>
      <c r="W36" s="304">
        <f t="shared" ca="1" si="4"/>
        <v>2.6876202573203023</v>
      </c>
      <c r="Y36" s="314" t="str">
        <f t="shared" ca="1" si="22"/>
        <v/>
      </c>
      <c r="Z36" s="315" t="str">
        <f t="shared" ca="1" si="23"/>
        <v/>
      </c>
      <c r="AA36" s="316" t="str">
        <f t="shared" ca="1" si="24"/>
        <v/>
      </c>
      <c r="AC36" s="310" t="e">
        <f t="shared" ca="1" si="25"/>
        <v>#N/A</v>
      </c>
      <c r="AD36" s="323" t="e">
        <f t="shared" ca="1" si="26"/>
        <v>#N/A</v>
      </c>
      <c r="AE36" s="324">
        <f t="shared" ca="1" si="5"/>
        <v>4.3613365689491994</v>
      </c>
      <c r="AG36" s="306">
        <f t="shared" ca="1" si="27"/>
        <v>97.817875809227786</v>
      </c>
      <c r="AH36" s="304">
        <f t="shared" ca="1" si="28"/>
        <v>107.59054579750781</v>
      </c>
    </row>
    <row r="37" spans="1:34" x14ac:dyDescent="0.2">
      <c r="A37" s="347">
        <f t="shared" ca="1" si="6"/>
        <v>0.01</v>
      </c>
      <c r="B37" s="304">
        <f t="shared" ca="1" si="7"/>
        <v>0.33000000000000013</v>
      </c>
      <c r="D37" s="306">
        <f t="shared" ca="1" si="8"/>
        <v>9.3869542446866578</v>
      </c>
      <c r="E37" s="307">
        <f t="shared" ca="1" si="9"/>
        <v>97.132638326679242</v>
      </c>
      <c r="F37" s="304">
        <f t="shared" ca="1" si="10"/>
        <v>97.58516453997153</v>
      </c>
      <c r="G37" s="306">
        <f t="shared" ca="1" si="11"/>
        <v>2.6776740412962816</v>
      </c>
      <c r="H37" s="307">
        <f t="shared" ca="1" si="12"/>
        <v>30.407804161317713</v>
      </c>
      <c r="I37" s="304">
        <f t="shared" ca="1" si="13"/>
        <v>30.525472841292448</v>
      </c>
      <c r="J37" s="306">
        <f t="shared" ca="1" si="14"/>
        <v>0.40789681439170727</v>
      </c>
      <c r="K37" s="307">
        <f t="shared" ca="1" si="15"/>
        <v>4.6605579786460423</v>
      </c>
      <c r="L37" s="304">
        <f t="shared" ca="1" si="0"/>
        <v>4.6783737007118384</v>
      </c>
      <c r="M37" s="306">
        <f t="shared" ca="1" si="16"/>
        <v>1.4829641095821933</v>
      </c>
      <c r="N37" s="304">
        <f t="shared" ca="1" si="17"/>
        <v>84.967584648435803</v>
      </c>
      <c r="P37" s="310">
        <f t="shared" ca="1" si="18"/>
        <v>2</v>
      </c>
      <c r="Q37" s="304">
        <f t="shared" ca="1" si="19"/>
        <v>834.94444444444446</v>
      </c>
      <c r="R37" s="306">
        <f t="shared" ca="1" si="20"/>
        <v>0.41901971516836672</v>
      </c>
      <c r="S37" s="307">
        <f t="shared" ca="1" si="21"/>
        <v>7.7524658122149503</v>
      </c>
      <c r="T37" s="304">
        <f t="shared" ca="1" si="1"/>
        <v>76.051689617828671</v>
      </c>
      <c r="U37" s="311">
        <f t="shared" ca="1" si="2"/>
        <v>0</v>
      </c>
      <c r="V37" s="306">
        <f t="shared" ca="1" si="3"/>
        <v>1.2244292146565254</v>
      </c>
      <c r="W37" s="304">
        <f t="shared" ca="1" si="4"/>
        <v>2.8679713068598205</v>
      </c>
      <c r="Y37" s="314" t="str">
        <f t="shared" ca="1" si="22"/>
        <v/>
      </c>
      <c r="Z37" s="315" t="str">
        <f t="shared" ca="1" si="23"/>
        <v/>
      </c>
      <c r="AA37" s="316" t="str">
        <f t="shared" ca="1" si="24"/>
        <v/>
      </c>
      <c r="AC37" s="310" t="e">
        <f t="shared" ca="1" si="25"/>
        <v>#N/A</v>
      </c>
      <c r="AD37" s="323" t="e">
        <f t="shared" ca="1" si="26"/>
        <v>#N/A</v>
      </c>
      <c r="AE37" s="324">
        <f t="shared" ca="1" si="5"/>
        <v>4.6605579786460423</v>
      </c>
      <c r="AG37" s="306">
        <f t="shared" ca="1" si="27"/>
        <v>97.581394490916779</v>
      </c>
      <c r="AH37" s="304">
        <f t="shared" ca="1" si="28"/>
        <v>107.35382062256922</v>
      </c>
    </row>
    <row r="38" spans="1:34" x14ac:dyDescent="0.2">
      <c r="A38" s="347">
        <f t="shared" ca="1" si="6"/>
        <v>0.01</v>
      </c>
      <c r="B38" s="304">
        <f t="shared" ca="1" si="7"/>
        <v>0.34000000000000014</v>
      </c>
      <c r="D38" s="306">
        <f t="shared" ca="1" si="8"/>
        <v>9.3961430872469194</v>
      </c>
      <c r="E38" s="307">
        <f t="shared" ca="1" si="9"/>
        <v>96.893084267271817</v>
      </c>
      <c r="F38" s="304">
        <f t="shared" ca="1" si="10"/>
        <v>97.347610570268515</v>
      </c>
      <c r="G38" s="306">
        <f t="shared" ca="1" si="11"/>
        <v>2.7716354721687506</v>
      </c>
      <c r="H38" s="307">
        <f t="shared" ca="1" si="12"/>
        <v>31.376735003990433</v>
      </c>
      <c r="I38" s="304">
        <f t="shared" ca="1" si="13"/>
        <v>31.498912087582049</v>
      </c>
      <c r="J38" s="306">
        <f t="shared" ca="1" si="14"/>
        <v>0.43514336195903242</v>
      </c>
      <c r="K38" s="307">
        <f t="shared" ca="1" si="15"/>
        <v>4.9694806744725835</v>
      </c>
      <c r="L38" s="304">
        <f t="shared" ca="1" si="0"/>
        <v>4.9884955567198306</v>
      </c>
      <c r="M38" s="306">
        <f t="shared" ca="1" si="16"/>
        <v>1.4826909170856826</v>
      </c>
      <c r="N38" s="304">
        <f t="shared" ca="1" si="17"/>
        <v>84.951931871391096</v>
      </c>
      <c r="P38" s="310">
        <f t="shared" ca="1" si="18"/>
        <v>2</v>
      </c>
      <c r="Q38" s="304">
        <f t="shared" ca="1" si="19"/>
        <v>832.83333333333326</v>
      </c>
      <c r="R38" s="306">
        <f t="shared" ca="1" si="20"/>
        <v>0.41796024686199912</v>
      </c>
      <c r="S38" s="307">
        <f t="shared" ca="1" si="21"/>
        <v>7.7482862097463308</v>
      </c>
      <c r="T38" s="304">
        <f t="shared" ca="1" si="1"/>
        <v>76.010687717611503</v>
      </c>
      <c r="U38" s="311">
        <f t="shared" ca="1" si="2"/>
        <v>0</v>
      </c>
      <c r="V38" s="306">
        <f t="shared" ca="1" si="3"/>
        <v>1.2243913898411982</v>
      </c>
      <c r="W38" s="304">
        <f t="shared" ca="1" si="4"/>
        <v>3.0537093199372145</v>
      </c>
      <c r="Y38" s="314" t="str">
        <f t="shared" ca="1" si="22"/>
        <v/>
      </c>
      <c r="Z38" s="315" t="str">
        <f t="shared" ca="1" si="23"/>
        <v/>
      </c>
      <c r="AA38" s="316" t="str">
        <f t="shared" ca="1" si="24"/>
        <v/>
      </c>
      <c r="AC38" s="310" t="e">
        <f t="shared" ca="1" si="25"/>
        <v>#N/A</v>
      </c>
      <c r="AD38" s="323" t="e">
        <f t="shared" ca="1" si="26"/>
        <v>#N/A</v>
      </c>
      <c r="AE38" s="324">
        <f t="shared" ca="1" si="5"/>
        <v>4.9694806744725835</v>
      </c>
      <c r="AG38" s="306">
        <f t="shared" ca="1" si="27"/>
        <v>97.343807084249931</v>
      </c>
      <c r="AH38" s="304">
        <f t="shared" ca="1" si="28"/>
        <v>107.11599178957607</v>
      </c>
    </row>
    <row r="39" spans="1:34" x14ac:dyDescent="0.2">
      <c r="A39" s="347">
        <f t="shared" ca="1" si="6"/>
        <v>0.01</v>
      </c>
      <c r="B39" s="304">
        <f t="shared" ca="1" si="7"/>
        <v>0.35000000000000014</v>
      </c>
      <c r="D39" s="306">
        <f t="shared" ca="1" si="8"/>
        <v>9.4042696466490376</v>
      </c>
      <c r="E39" s="307">
        <f t="shared" ca="1" si="9"/>
        <v>96.652512683201678</v>
      </c>
      <c r="F39" s="304">
        <f t="shared" ca="1" si="10"/>
        <v>97.108951675751001</v>
      </c>
      <c r="G39" s="306">
        <f t="shared" ca="1" si="11"/>
        <v>2.8656781686352408</v>
      </c>
      <c r="H39" s="307">
        <f t="shared" ca="1" si="12"/>
        <v>32.343260130822451</v>
      </c>
      <c r="I39" s="304">
        <f t="shared" ca="1" si="13"/>
        <v>32.469964386433219</v>
      </c>
      <c r="J39" s="306">
        <f t="shared" ca="1" si="14"/>
        <v>0.46332993016305235</v>
      </c>
      <c r="K39" s="307">
        <f t="shared" ca="1" si="15"/>
        <v>5.2880806501466475</v>
      </c>
      <c r="L39" s="304">
        <f t="shared" ca="1" si="0"/>
        <v>5.3083398145409157</v>
      </c>
      <c r="M39" s="306">
        <f t="shared" ca="1" si="16"/>
        <v>1.4824250725385073</v>
      </c>
      <c r="N39" s="304">
        <f t="shared" ca="1" si="17"/>
        <v>84.936700100831388</v>
      </c>
      <c r="P39" s="310">
        <f t="shared" ca="1" si="18"/>
        <v>2</v>
      </c>
      <c r="Q39" s="304">
        <f t="shared" ca="1" si="19"/>
        <v>830.72222222222217</v>
      </c>
      <c r="R39" s="306">
        <f t="shared" ca="1" si="20"/>
        <v>0.41690077855563162</v>
      </c>
      <c r="S39" s="307">
        <f t="shared" ca="1" si="21"/>
        <v>7.7441172019607745</v>
      </c>
      <c r="T39" s="304">
        <f t="shared" ca="1" si="1"/>
        <v>75.969789751235197</v>
      </c>
      <c r="U39" s="311">
        <f t="shared" ca="1" si="2"/>
        <v>0</v>
      </c>
      <c r="V39" s="306">
        <f t="shared" ca="1" si="3"/>
        <v>1.224352381353339</v>
      </c>
      <c r="W39" s="304">
        <f t="shared" ca="1" si="4"/>
        <v>3.2447883483115039</v>
      </c>
      <c r="Y39" s="314" t="str">
        <f t="shared" ca="1" si="22"/>
        <v/>
      </c>
      <c r="Z39" s="315" t="str">
        <f t="shared" ca="1" si="23"/>
        <v/>
      </c>
      <c r="AA39" s="316" t="str">
        <f t="shared" ca="1" si="24"/>
        <v/>
      </c>
      <c r="AC39" s="310" t="e">
        <f t="shared" ca="1" si="25"/>
        <v>#N/A</v>
      </c>
      <c r="AD39" s="323" t="e">
        <f t="shared" ca="1" si="26"/>
        <v>#N/A</v>
      </c>
      <c r="AE39" s="324">
        <f t="shared" ca="1" si="5"/>
        <v>5.2880806501466475</v>
      </c>
      <c r="AG39" s="306">
        <f t="shared" ca="1" si="27"/>
        <v>97.105115147103191</v>
      </c>
      <c r="AH39" s="304">
        <f t="shared" ca="1" si="28"/>
        <v>106.87706439834396</v>
      </c>
    </row>
    <row r="40" spans="1:34" x14ac:dyDescent="0.2">
      <c r="A40" s="347">
        <f t="shared" ca="1" si="6"/>
        <v>0.01</v>
      </c>
      <c r="B40" s="304">
        <f t="shared" ca="1" si="7"/>
        <v>0.36000000000000015</v>
      </c>
      <c r="D40" s="306">
        <f t="shared" ca="1" si="8"/>
        <v>9.4113884496665055</v>
      </c>
      <c r="E40" s="307">
        <f t="shared" ca="1" si="9"/>
        <v>96.41092464931188</v>
      </c>
      <c r="F40" s="304">
        <f t="shared" ca="1" si="10"/>
        <v>96.869193370678019</v>
      </c>
      <c r="G40" s="306">
        <f t="shared" ca="1" si="11"/>
        <v>2.9597920531319057</v>
      </c>
      <c r="H40" s="307">
        <f t="shared" ca="1" si="12"/>
        <v>33.307369377315567</v>
      </c>
      <c r="I40" s="304">
        <f t="shared" ca="1" si="13"/>
        <v>33.438618748906507</v>
      </c>
      <c r="J40" s="306">
        <f t="shared" ca="1" si="14"/>
        <v>0.49245728127188809</v>
      </c>
      <c r="K40" s="307">
        <f t="shared" ca="1" si="15"/>
        <v>5.6163337976873375</v>
      </c>
      <c r="L40" s="304">
        <f t="shared" ca="1" si="0"/>
        <v>5.6378825369923034</v>
      </c>
      <c r="M40" s="306">
        <f t="shared" ca="1" si="16"/>
        <v>1.4821661521289025</v>
      </c>
      <c r="N40" s="304">
        <f t="shared" ca="1" si="17"/>
        <v>84.921865054131231</v>
      </c>
      <c r="P40" s="310">
        <f t="shared" ca="1" si="18"/>
        <v>2</v>
      </c>
      <c r="Q40" s="304">
        <f t="shared" ca="1" si="19"/>
        <v>828.61111111111109</v>
      </c>
      <c r="R40" s="306">
        <f t="shared" ca="1" si="20"/>
        <v>0.41584131024926407</v>
      </c>
      <c r="S40" s="307">
        <f t="shared" ca="1" si="21"/>
        <v>7.7399587888582815</v>
      </c>
      <c r="T40" s="304">
        <f t="shared" ca="1" si="1"/>
        <v>75.928995718699738</v>
      </c>
      <c r="U40" s="311">
        <f t="shared" ca="1" si="2"/>
        <v>0</v>
      </c>
      <c r="V40" s="306">
        <f t="shared" ca="1" si="3"/>
        <v>1.224312192257677</v>
      </c>
      <c r="W40" s="304">
        <f t="shared" ca="1" si="4"/>
        <v>3.4411622723416002</v>
      </c>
      <c r="Y40" s="314" t="str">
        <f t="shared" ca="1" si="22"/>
        <v/>
      </c>
      <c r="Z40" s="315" t="str">
        <f t="shared" ca="1" si="23"/>
        <v/>
      </c>
      <c r="AA40" s="316" t="str">
        <f t="shared" ca="1" si="24"/>
        <v/>
      </c>
      <c r="AC40" s="310" t="e">
        <f t="shared" ca="1" si="25"/>
        <v>#N/A</v>
      </c>
      <c r="AD40" s="323" t="e">
        <f t="shared" ca="1" si="26"/>
        <v>#N/A</v>
      </c>
      <c r="AE40" s="324">
        <f t="shared" ca="1" si="5"/>
        <v>5.6163337976873375</v>
      </c>
      <c r="AG40" s="306">
        <f t="shared" ca="1" si="27"/>
        <v>96.865324161449408</v>
      </c>
      <c r="AH40" s="304">
        <f t="shared" ca="1" si="28"/>
        <v>106.63704359135858</v>
      </c>
    </row>
    <row r="41" spans="1:34" x14ac:dyDescent="0.2">
      <c r="A41" s="347">
        <f t="shared" ca="1" si="6"/>
        <v>0.01</v>
      </c>
      <c r="B41" s="304">
        <f t="shared" ca="1" si="7"/>
        <v>0.37000000000000016</v>
      </c>
      <c r="D41" s="306">
        <f t="shared" ca="1" si="8"/>
        <v>9.4175493294487094</v>
      </c>
      <c r="E41" s="307">
        <f t="shared" ca="1" si="9"/>
        <v>96.168321623346699</v>
      </c>
      <c r="F41" s="304">
        <f t="shared" ca="1" si="10"/>
        <v>96.62834118013231</v>
      </c>
      <c r="G41" s="306">
        <f t="shared" ca="1" si="11"/>
        <v>3.0539675464263927</v>
      </c>
      <c r="H41" s="307">
        <f t="shared" ca="1" si="12"/>
        <v>34.269052593549034</v>
      </c>
      <c r="I41" s="304">
        <f t="shared" ca="1" si="13"/>
        <v>34.404864240889765</v>
      </c>
      <c r="J41" s="306">
        <f t="shared" ca="1" si="14"/>
        <v>0.52252607926967953</v>
      </c>
      <c r="K41" s="307">
        <f t="shared" ca="1" si="15"/>
        <v>5.954215907541661</v>
      </c>
      <c r="L41" s="304">
        <f t="shared" ca="1" si="0"/>
        <v>5.9770996793711841</v>
      </c>
      <c r="M41" s="306">
        <f t="shared" ca="1" si="16"/>
        <v>1.4819137680042853</v>
      </c>
      <c r="N41" s="304">
        <f t="shared" ca="1" si="17"/>
        <v>84.907404508974565</v>
      </c>
      <c r="P41" s="310">
        <f t="shared" ca="1" si="18"/>
        <v>2</v>
      </c>
      <c r="Q41" s="304">
        <f t="shared" ca="1" si="19"/>
        <v>826.5</v>
      </c>
      <c r="R41" s="306">
        <f t="shared" ca="1" si="20"/>
        <v>0.41478184194289652</v>
      </c>
      <c r="S41" s="307">
        <f t="shared" ca="1" si="21"/>
        <v>7.7358109704388527</v>
      </c>
      <c r="T41" s="304">
        <f t="shared" ca="1" si="1"/>
        <v>75.888305620005156</v>
      </c>
      <c r="U41" s="311">
        <f t="shared" ca="1" si="2"/>
        <v>0</v>
      </c>
      <c r="V41" s="306">
        <f t="shared" ca="1" si="3"/>
        <v>1.2242708256344064</v>
      </c>
      <c r="W41" s="304">
        <f t="shared" ca="1" si="4"/>
        <v>3.642784804874367</v>
      </c>
      <c r="Y41" s="314" t="str">
        <f t="shared" ca="1" si="22"/>
        <v/>
      </c>
      <c r="Z41" s="315" t="str">
        <f t="shared" ca="1" si="23"/>
        <v/>
      </c>
      <c r="AA41" s="316" t="str">
        <f t="shared" ca="1" si="24"/>
        <v/>
      </c>
      <c r="AC41" s="310" t="e">
        <f t="shared" ca="1" si="25"/>
        <v>#N/A</v>
      </c>
      <c r="AD41" s="323" t="e">
        <f t="shared" ca="1" si="26"/>
        <v>#N/A</v>
      </c>
      <c r="AE41" s="324">
        <f t="shared" ca="1" si="5"/>
        <v>5.954215907541661</v>
      </c>
      <c r="AG41" s="306">
        <f t="shared" ca="1" si="27"/>
        <v>96.624439622711108</v>
      </c>
      <c r="AH41" s="304">
        <f t="shared" ca="1" si="28"/>
        <v>106.39593455331888</v>
      </c>
    </row>
    <row r="42" spans="1:34" x14ac:dyDescent="0.2">
      <c r="A42" s="347">
        <f t="shared" ca="1" si="6"/>
        <v>0.01</v>
      </c>
      <c r="B42" s="304">
        <f t="shared" ca="1" si="7"/>
        <v>0.38000000000000017</v>
      </c>
      <c r="D42" s="306">
        <f t="shared" ca="1" si="8"/>
        <v>9.4227979593075784</v>
      </c>
      <c r="E42" s="307">
        <f t="shared" ca="1" si="9"/>
        <v>95.924705407643287</v>
      </c>
      <c r="F42" s="304">
        <f t="shared" ca="1" si="10"/>
        <v>96.386400643063126</v>
      </c>
      <c r="G42" s="306">
        <f t="shared" ca="1" si="11"/>
        <v>3.1481955260194683</v>
      </c>
      <c r="H42" s="307">
        <f t="shared" ca="1" si="12"/>
        <v>35.22829964762547</v>
      </c>
      <c r="I42" s="304">
        <f t="shared" ca="1" si="13"/>
        <v>35.368689983273875</v>
      </c>
      <c r="J42" s="306">
        <f t="shared" ca="1" si="14"/>
        <v>0.5535368946319088</v>
      </c>
      <c r="K42" s="307">
        <f t="shared" ca="1" si="15"/>
        <v>6.3017026687475335</v>
      </c>
      <c r="L42" s="304">
        <f t="shared" ca="1" si="0"/>
        <v>6.3259670896249949</v>
      </c>
      <c r="M42" s="306">
        <f t="shared" ca="1" si="16"/>
        <v>1.4816675642865609</v>
      </c>
      <c r="N42" s="304">
        <f t="shared" ca="1" si="17"/>
        <v>84.89329807504852</v>
      </c>
      <c r="P42" s="310">
        <f t="shared" ca="1" si="18"/>
        <v>2</v>
      </c>
      <c r="Q42" s="304">
        <f t="shared" ca="1" si="19"/>
        <v>824.38888888888891</v>
      </c>
      <c r="R42" s="306">
        <f t="shared" ca="1" si="20"/>
        <v>0.41372237363652897</v>
      </c>
      <c r="S42" s="307">
        <f t="shared" ca="1" si="21"/>
        <v>7.7316737467024872</v>
      </c>
      <c r="T42" s="304">
        <f t="shared" ca="1" si="1"/>
        <v>75.847719455151406</v>
      </c>
      <c r="U42" s="311">
        <f t="shared" ca="1" si="2"/>
        <v>0</v>
      </c>
      <c r="V42" s="306">
        <f t="shared" ca="1" si="3"/>
        <v>1.2242282845791346</v>
      </c>
      <c r="W42" s="304">
        <f t="shared" ca="1" si="4"/>
        <v>3.8496094951389783</v>
      </c>
      <c r="Y42" s="314" t="str">
        <f t="shared" ca="1" si="22"/>
        <v/>
      </c>
      <c r="Z42" s="315" t="str">
        <f t="shared" ca="1" si="23"/>
        <v/>
      </c>
      <c r="AA42" s="316" t="str">
        <f t="shared" ca="1" si="24"/>
        <v/>
      </c>
      <c r="AC42" s="310" t="e">
        <f t="shared" ca="1" si="25"/>
        <v>#N/A</v>
      </c>
      <c r="AD42" s="323" t="e">
        <f t="shared" ca="1" si="26"/>
        <v>#N/A</v>
      </c>
      <c r="AE42" s="324">
        <f t="shared" ca="1" si="5"/>
        <v>6.3017026687475335</v>
      </c>
      <c r="AG42" s="306">
        <f t="shared" ca="1" si="27"/>
        <v>96.382467042506931</v>
      </c>
      <c r="AH42" s="304">
        <f t="shared" ca="1" si="28"/>
        <v>106.15374251067666</v>
      </c>
    </row>
    <row r="43" spans="1:34" x14ac:dyDescent="0.2">
      <c r="A43" s="347">
        <f t="shared" ca="1" si="6"/>
        <v>0.01</v>
      </c>
      <c r="B43" s="304">
        <f t="shared" ca="1" si="7"/>
        <v>0.39000000000000018</v>
      </c>
      <c r="D43" s="306">
        <f t="shared" ca="1" si="8"/>
        <v>9.4271763123985028</v>
      </c>
      <c r="E43" s="307">
        <f t="shared" ca="1" si="9"/>
        <v>95.680078115979683</v>
      </c>
      <c r="F43" s="304">
        <f t="shared" ca="1" si="10"/>
        <v>96.143377314846916</v>
      </c>
      <c r="G43" s="306">
        <f t="shared" ca="1" si="11"/>
        <v>3.2424672891434532</v>
      </c>
      <c r="H43" s="307">
        <f t="shared" ca="1" si="12"/>
        <v>36.185100428785269</v>
      </c>
      <c r="I43" s="304">
        <f t="shared" ca="1" si="13"/>
        <v>36.330085152149607</v>
      </c>
      <c r="J43" s="306">
        <f t="shared" ca="1" si="14"/>
        <v>0.58549020870772339</v>
      </c>
      <c r="K43" s="307">
        <f t="shared" ca="1" si="15"/>
        <v>6.6587696691295868</v>
      </c>
      <c r="L43" s="304">
        <f t="shared" ca="1" si="0"/>
        <v>6.6844605085984883</v>
      </c>
      <c r="M43" s="306">
        <f t="shared" ca="1" si="16"/>
        <v>1.4814272136266666</v>
      </c>
      <c r="N43" s="304">
        <f t="shared" ca="1" si="17"/>
        <v>84.879526996633402</v>
      </c>
      <c r="P43" s="310">
        <f t="shared" ca="1" si="18"/>
        <v>2</v>
      </c>
      <c r="Q43" s="304">
        <f t="shared" ca="1" si="19"/>
        <v>822.27777777777771</v>
      </c>
      <c r="R43" s="306">
        <f t="shared" ca="1" si="20"/>
        <v>0.41266290533016137</v>
      </c>
      <c r="S43" s="307">
        <f t="shared" ca="1" si="21"/>
        <v>7.7275471176491859</v>
      </c>
      <c r="T43" s="304">
        <f t="shared" ca="1" si="1"/>
        <v>75.807237224138518</v>
      </c>
      <c r="U43" s="311">
        <f t="shared" ca="1" si="2"/>
        <v>0</v>
      </c>
      <c r="V43" s="306">
        <f t="shared" ca="1" si="3"/>
        <v>1.2241845722028257</v>
      </c>
      <c r="W43" s="304">
        <f t="shared" ca="1" si="4"/>
        <v>4.0615897326473931</v>
      </c>
      <c r="Y43" s="314" t="str">
        <f t="shared" ca="1" si="22"/>
        <v/>
      </c>
      <c r="Z43" s="315" t="str">
        <f t="shared" ca="1" si="23"/>
        <v/>
      </c>
      <c r="AA43" s="316" t="str">
        <f t="shared" ca="1" si="24"/>
        <v/>
      </c>
      <c r="AC43" s="310" t="e">
        <f t="shared" ca="1" si="25"/>
        <v>#N/A</v>
      </c>
      <c r="AD43" s="323" t="e">
        <f t="shared" ca="1" si="26"/>
        <v>#N/A</v>
      </c>
      <c r="AE43" s="324">
        <f t="shared" ca="1" si="5"/>
        <v>6.6587696691295868</v>
      </c>
      <c r="AG43" s="306">
        <f t="shared" ca="1" si="27"/>
        <v>96.139411950956458</v>
      </c>
      <c r="AH43" s="304">
        <f t="shared" ca="1" si="28"/>
        <v>105.91047273117302</v>
      </c>
    </row>
    <row r="44" spans="1:34" x14ac:dyDescent="0.2">
      <c r="A44" s="347">
        <f t="shared" ca="1" si="6"/>
        <v>0.01</v>
      </c>
      <c r="B44" s="304">
        <f t="shared" ca="1" si="7"/>
        <v>0.40000000000000019</v>
      </c>
      <c r="D44" s="306">
        <f t="shared" ca="1" si="8"/>
        <v>9.4307230593463931</v>
      </c>
      <c r="E44" s="307">
        <f t="shared" ca="1" si="9"/>
        <v>95.434442144752396</v>
      </c>
      <c r="F44" s="304">
        <f t="shared" ca="1" si="10"/>
        <v>95.899276769442736</v>
      </c>
      <c r="G44" s="306">
        <f t="shared" ca="1" si="11"/>
        <v>3.3367745197369172</v>
      </c>
      <c r="H44" s="307">
        <f t="shared" ca="1" si="12"/>
        <v>37.139444850232792</v>
      </c>
      <c r="I44" s="304">
        <f t="shared" ca="1" si="13"/>
        <v>37.289038979022358</v>
      </c>
      <c r="J44" s="306">
        <f t="shared" ca="1" si="14"/>
        <v>0.61838641775212522</v>
      </c>
      <c r="K44" s="307">
        <f t="shared" ca="1" si="15"/>
        <v>7.0253923955246771</v>
      </c>
      <c r="L44" s="304">
        <f t="shared" ca="1" si="0"/>
        <v>7.0525555703415952</v>
      </c>
      <c r="M44" s="306">
        <f t="shared" ca="1" si="16"/>
        <v>1.4811924142128694</v>
      </c>
      <c r="N44" s="304">
        <f t="shared" ca="1" si="17"/>
        <v>84.866073981190667</v>
      </c>
      <c r="P44" s="310">
        <f t="shared" ca="1" si="18"/>
        <v>2</v>
      </c>
      <c r="Q44" s="304">
        <f t="shared" ca="1" si="19"/>
        <v>820.16666666666663</v>
      </c>
      <c r="R44" s="306">
        <f t="shared" ca="1" si="20"/>
        <v>0.41160343702379387</v>
      </c>
      <c r="S44" s="307">
        <f t="shared" ca="1" si="21"/>
        <v>7.7234310832789479</v>
      </c>
      <c r="T44" s="304">
        <f t="shared" ca="1" si="1"/>
        <v>75.766858926966478</v>
      </c>
      <c r="U44" s="311">
        <f t="shared" ca="1" si="2"/>
        <v>0</v>
      </c>
      <c r="V44" s="306">
        <f t="shared" ca="1" si="3"/>
        <v>1.224139691631742</v>
      </c>
      <c r="W44" s="304">
        <f t="shared" ca="1" si="4"/>
        <v>4.2786787511007862</v>
      </c>
      <c r="Y44" s="314" t="str">
        <f t="shared" ca="1" si="22"/>
        <v/>
      </c>
      <c r="Z44" s="315" t="str">
        <f t="shared" ca="1" si="23"/>
        <v/>
      </c>
      <c r="AA44" s="316" t="str">
        <f t="shared" ca="1" si="24"/>
        <v/>
      </c>
      <c r="AC44" s="310" t="e">
        <f t="shared" ca="1" si="25"/>
        <v>#N/A</v>
      </c>
      <c r="AD44" s="323" t="e">
        <f t="shared" ca="1" si="26"/>
        <v>#N/A</v>
      </c>
      <c r="AE44" s="324">
        <f t="shared" ca="1" si="5"/>
        <v>7.0253923955246771</v>
      </c>
      <c r="AG44" s="306">
        <f t="shared" ca="1" si="27"/>
        <v>95.895279898613936</v>
      </c>
      <c r="AH44" s="304">
        <f t="shared" ca="1" si="28"/>
        <v>105.66613052337169</v>
      </c>
    </row>
    <row r="45" spans="1:34" x14ac:dyDescent="0.2">
      <c r="A45" s="347">
        <f t="shared" ca="1" si="6"/>
        <v>0.01</v>
      </c>
      <c r="B45" s="304">
        <f t="shared" ca="1" si="7"/>
        <v>0.4100000000000002</v>
      </c>
      <c r="D45" s="306">
        <f t="shared" ca="1" si="8"/>
        <v>9.433473913637112</v>
      </c>
      <c r="E45" s="307">
        <f t="shared" ca="1" si="9"/>
        <v>95.187800147808005</v>
      </c>
      <c r="F45" s="304">
        <f t="shared" ca="1" si="10"/>
        <v>95.654104601205219</v>
      </c>
      <c r="G45" s="306">
        <f t="shared" ca="1" si="11"/>
        <v>3.4311092588732883</v>
      </c>
      <c r="H45" s="307">
        <f t="shared" ca="1" si="12"/>
        <v>38.091322851710871</v>
      </c>
      <c r="I45" s="304">
        <f t="shared" ca="1" si="13"/>
        <v>38.245540751041773</v>
      </c>
      <c r="J45" s="306">
        <f t="shared" ca="1" si="14"/>
        <v>0.65222583664517619</v>
      </c>
      <c r="K45" s="307">
        <f t="shared" ca="1" si="15"/>
        <v>7.4015462340343952</v>
      </c>
      <c r="L45" s="304">
        <f t="shared" ca="1" si="0"/>
        <v>7.4302278024658328</v>
      </c>
      <c r="M45" s="306">
        <f t="shared" ca="1" si="16"/>
        <v>1.4809628871627609</v>
      </c>
      <c r="N45" s="304">
        <f t="shared" ca="1" si="17"/>
        <v>84.85292304993537</v>
      </c>
      <c r="P45" s="310">
        <f t="shared" ca="1" si="18"/>
        <v>2</v>
      </c>
      <c r="Q45" s="304">
        <f t="shared" ca="1" si="19"/>
        <v>818.05555555555554</v>
      </c>
      <c r="R45" s="306">
        <f t="shared" ca="1" si="20"/>
        <v>0.41054396871742632</v>
      </c>
      <c r="S45" s="307">
        <f t="shared" ca="1" si="21"/>
        <v>7.7193256435917732</v>
      </c>
      <c r="T45" s="304">
        <f t="shared" ca="1" si="1"/>
        <v>75.726584563635299</v>
      </c>
      <c r="U45" s="311">
        <f t="shared" ca="1" si="2"/>
        <v>0</v>
      </c>
      <c r="V45" s="306">
        <f t="shared" ca="1" si="3"/>
        <v>1.2240936460073797</v>
      </c>
      <c r="W45" s="304">
        <f t="shared" ca="1" si="4"/>
        <v>4.5008296323016621</v>
      </c>
      <c r="Y45" s="314" t="str">
        <f t="shared" ca="1" si="22"/>
        <v/>
      </c>
      <c r="Z45" s="315" t="str">
        <f t="shared" ca="1" si="23"/>
        <v/>
      </c>
      <c r="AA45" s="316" t="str">
        <f t="shared" ca="1" si="24"/>
        <v/>
      </c>
      <c r="AC45" s="310" t="e">
        <f t="shared" ca="1" si="25"/>
        <v>#N/A</v>
      </c>
      <c r="AD45" s="323" t="e">
        <f t="shared" ca="1" si="26"/>
        <v>#N/A</v>
      </c>
      <c r="AE45" s="324">
        <f t="shared" ca="1" si="5"/>
        <v>7.4015462340343952</v>
      </c>
      <c r="AG45" s="306">
        <f t="shared" ca="1" si="27"/>
        <v>95.650076458088307</v>
      </c>
      <c r="AH45" s="304">
        <f t="shared" ca="1" si="28"/>
        <v>105.42072123618915</v>
      </c>
    </row>
    <row r="46" spans="1:34" x14ac:dyDescent="0.2">
      <c r="A46" s="347">
        <f t="shared" ca="1" si="6"/>
        <v>0.01</v>
      </c>
      <c r="B46" s="304">
        <f t="shared" ca="1" si="7"/>
        <v>0.42000000000000021</v>
      </c>
      <c r="D46" s="306">
        <f t="shared" ca="1" si="8"/>
        <v>9.435461932824099</v>
      </c>
      <c r="E46" s="307">
        <f t="shared" ca="1" si="9"/>
        <v>94.940155014373957</v>
      </c>
      <c r="F46" s="304">
        <f t="shared" ca="1" si="10"/>
        <v>95.407866426407054</v>
      </c>
      <c r="G46" s="306">
        <f t="shared" ca="1" si="11"/>
        <v>3.5254638782015295</v>
      </c>
      <c r="H46" s="307">
        <f t="shared" ca="1" si="12"/>
        <v>39.040724401854611</v>
      </c>
      <c r="I46" s="304">
        <f t="shared" ca="1" si="13"/>
        <v>39.199579811243765</v>
      </c>
      <c r="J46" s="306">
        <f t="shared" ca="1" si="14"/>
        <v>0.68700870233055022</v>
      </c>
      <c r="K46" s="307">
        <f t="shared" ca="1" si="15"/>
        <v>7.7872064703022223</v>
      </c>
      <c r="L46" s="304">
        <f t="shared" ca="1" si="0"/>
        <v>7.8174526265398434</v>
      </c>
      <c r="M46" s="306">
        <f t="shared" ca="1" si="16"/>
        <v>1.480738374241221</v>
      </c>
      <c r="N46" s="304">
        <f t="shared" ca="1" si="17"/>
        <v>84.840059407084979</v>
      </c>
      <c r="P46" s="310">
        <f t="shared" ca="1" si="18"/>
        <v>2</v>
      </c>
      <c r="Q46" s="304">
        <f t="shared" ca="1" si="19"/>
        <v>815.94444444444434</v>
      </c>
      <c r="R46" s="306">
        <f t="shared" ca="1" si="20"/>
        <v>0.40948450041105872</v>
      </c>
      <c r="S46" s="307">
        <f t="shared" ca="1" si="21"/>
        <v>7.7152307985876627</v>
      </c>
      <c r="T46" s="304">
        <f t="shared" ca="1" si="1"/>
        <v>75.686414134144968</v>
      </c>
      <c r="U46" s="311">
        <f t="shared" ca="1" si="2"/>
        <v>0</v>
      </c>
      <c r="V46" s="306">
        <f t="shared" ca="1" si="3"/>
        <v>1.2240464384864078</v>
      </c>
      <c r="W46" s="304">
        <f t="shared" ca="1" si="4"/>
        <v>4.7279953100713801</v>
      </c>
      <c r="Y46" s="314" t="str">
        <f t="shared" ca="1" si="22"/>
        <v/>
      </c>
      <c r="Z46" s="315" t="str">
        <f t="shared" ca="1" si="23"/>
        <v/>
      </c>
      <c r="AA46" s="316" t="str">
        <f t="shared" ca="1" si="24"/>
        <v/>
      </c>
      <c r="AC46" s="310" t="e">
        <f t="shared" ca="1" si="25"/>
        <v>#N/A</v>
      </c>
      <c r="AD46" s="323" t="e">
        <f t="shared" ca="1" si="26"/>
        <v>#N/A</v>
      </c>
      <c r="AE46" s="324">
        <f t="shared" ca="1" si="5"/>
        <v>7.7872064703022223</v>
      </c>
      <c r="AG46" s="306">
        <f t="shared" ca="1" si="27"/>
        <v>95.403807225397003</v>
      </c>
      <c r="AH46" s="304">
        <f t="shared" ca="1" si="28"/>
        <v>105.17425025842184</v>
      </c>
    </row>
    <row r="47" spans="1:34" x14ac:dyDescent="0.2">
      <c r="A47" s="347">
        <f t="shared" ca="1" si="6"/>
        <v>0.01</v>
      </c>
      <c r="B47" s="304">
        <f t="shared" ca="1" si="7"/>
        <v>0.43000000000000022</v>
      </c>
      <c r="D47" s="306">
        <f t="shared" ca="1" si="8"/>
        <v>9.4367177821856352</v>
      </c>
      <c r="E47" s="307">
        <f t="shared" ca="1" si="9"/>
        <v>94.691509849629369</v>
      </c>
      <c r="F47" s="304">
        <f t="shared" ca="1" si="10"/>
        <v>95.160567884513355</v>
      </c>
      <c r="G47" s="306">
        <f t="shared" ca="1" si="11"/>
        <v>3.619831056023386</v>
      </c>
      <c r="H47" s="307">
        <f t="shared" ca="1" si="12"/>
        <v>39.987639500350902</v>
      </c>
      <c r="I47" s="304">
        <f t="shared" ca="1" si="13"/>
        <v>40.151145558802867</v>
      </c>
      <c r="J47" s="306">
        <f t="shared" ca="1" si="14"/>
        <v>0.72273517700167478</v>
      </c>
      <c r="K47" s="307">
        <f t="shared" ca="1" si="15"/>
        <v>8.18234828981325</v>
      </c>
      <c r="L47" s="304">
        <f t="shared" ca="1" si="0"/>
        <v>8.2142053585167609</v>
      </c>
      <c r="M47" s="306">
        <f t="shared" ca="1" si="16"/>
        <v>1.4805186358565265</v>
      </c>
      <c r="N47" s="304">
        <f t="shared" ca="1" si="17"/>
        <v>84.827469325044959</v>
      </c>
      <c r="P47" s="310">
        <f t="shared" ca="1" si="18"/>
        <v>2</v>
      </c>
      <c r="Q47" s="304">
        <f t="shared" ca="1" si="19"/>
        <v>813.83333333333326</v>
      </c>
      <c r="R47" s="306">
        <f t="shared" ca="1" si="20"/>
        <v>0.40842503210469117</v>
      </c>
      <c r="S47" s="307">
        <f t="shared" ca="1" si="21"/>
        <v>7.7111465482666155</v>
      </c>
      <c r="T47" s="304">
        <f t="shared" ca="1" si="1"/>
        <v>75.646347638495499</v>
      </c>
      <c r="U47" s="311">
        <f t="shared" ca="1" si="2"/>
        <v>0</v>
      </c>
      <c r="V47" s="306">
        <f t="shared" ca="1" si="3"/>
        <v>1.2239980722405923</v>
      </c>
      <c r="W47" s="304">
        <f t="shared" ca="1" si="4"/>
        <v>4.9601285741727246</v>
      </c>
      <c r="Y47" s="314" t="str">
        <f t="shared" ca="1" si="22"/>
        <v/>
      </c>
      <c r="Z47" s="315" t="str">
        <f t="shared" ca="1" si="23"/>
        <v/>
      </c>
      <c r="AA47" s="316" t="str">
        <f t="shared" ca="1" si="24"/>
        <v/>
      </c>
      <c r="AC47" s="310" t="e">
        <f t="shared" ca="1" si="25"/>
        <v>#N/A</v>
      </c>
      <c r="AD47" s="323" t="e">
        <f t="shared" ca="1" si="26"/>
        <v>#N/A</v>
      </c>
      <c r="AE47" s="324">
        <f t="shared" ca="1" si="5"/>
        <v>8.18234828981325</v>
      </c>
      <c r="AG47" s="306">
        <f t="shared" ca="1" si="27"/>
        <v>95.156477821092409</v>
      </c>
      <c r="AH47" s="304">
        <f t="shared" ca="1" si="28"/>
        <v>104.92672301827025</v>
      </c>
    </row>
    <row r="48" spans="1:34" x14ac:dyDescent="0.2">
      <c r="A48" s="347">
        <f t="shared" ca="1" si="6"/>
        <v>0.01</v>
      </c>
      <c r="B48" s="304">
        <f t="shared" ca="1" si="7"/>
        <v>0.44000000000000022</v>
      </c>
      <c r="D48" s="306">
        <f t="shared" ca="1" si="8"/>
        <v>9.4372699663309962</v>
      </c>
      <c r="E48" s="307">
        <f t="shared" ca="1" si="9"/>
        <v>94.441867957534583</v>
      </c>
      <c r="F48" s="304">
        <f t="shared" ca="1" si="10"/>
        <v>94.912214639243402</v>
      </c>
      <c r="G48" s="306">
        <f t="shared" ca="1" si="11"/>
        <v>3.7142037556866958</v>
      </c>
      <c r="H48" s="307">
        <f t="shared" ca="1" si="12"/>
        <v>40.932058179926244</v>
      </c>
      <c r="I48" s="304">
        <f t="shared" ca="1" si="13"/>
        <v>41.100227449293079</v>
      </c>
      <c r="J48" s="306">
        <f t="shared" ca="1" si="14"/>
        <v>0.75940535106022522</v>
      </c>
      <c r="K48" s="307">
        <f t="shared" ca="1" si="15"/>
        <v>8.5869467782146351</v>
      </c>
      <c r="L48" s="304">
        <f t="shared" ca="1" si="0"/>
        <v>8.6204612091876847</v>
      </c>
      <c r="M48" s="306">
        <f t="shared" ca="1" si="16"/>
        <v>1.4803034492947806</v>
      </c>
      <c r="N48" s="304">
        <f t="shared" ca="1" si="17"/>
        <v>84.815140043248988</v>
      </c>
      <c r="P48" s="310">
        <f t="shared" ca="1" si="18"/>
        <v>2</v>
      </c>
      <c r="Q48" s="304">
        <f t="shared" ca="1" si="19"/>
        <v>811.72222222222217</v>
      </c>
      <c r="R48" s="306">
        <f t="shared" ca="1" si="20"/>
        <v>0.40736556379832362</v>
      </c>
      <c r="S48" s="307">
        <f t="shared" ca="1" si="21"/>
        <v>7.7070728926286325</v>
      </c>
      <c r="T48" s="304">
        <f t="shared" ca="1" si="1"/>
        <v>75.606385076686891</v>
      </c>
      <c r="U48" s="311">
        <f t="shared" ca="1" si="2"/>
        <v>0</v>
      </c>
      <c r="V48" s="306">
        <f t="shared" ca="1" si="3"/>
        <v>1.2239485504567322</v>
      </c>
      <c r="W48" s="304">
        <f t="shared" ca="1" si="4"/>
        <v>5.1971820742372561</v>
      </c>
      <c r="Y48" s="314" t="str">
        <f t="shared" ca="1" si="22"/>
        <v/>
      </c>
      <c r="Z48" s="315" t="str">
        <f t="shared" ca="1" si="23"/>
        <v/>
      </c>
      <c r="AA48" s="316" t="str">
        <f t="shared" ca="1" si="24"/>
        <v/>
      </c>
      <c r="AC48" s="310" t="e">
        <f t="shared" ca="1" si="25"/>
        <v>#N/A</v>
      </c>
      <c r="AD48" s="323" t="e">
        <f t="shared" ca="1" si="26"/>
        <v>#N/A</v>
      </c>
      <c r="AE48" s="324">
        <f t="shared" ca="1" si="5"/>
        <v>8.5869467782146351</v>
      </c>
      <c r="AG48" s="306">
        <f t="shared" ca="1" si="27"/>
        <v>94.908093891193403</v>
      </c>
      <c r="AH48" s="304">
        <f t="shared" ca="1" si="28"/>
        <v>104.67814498285991</v>
      </c>
    </row>
    <row r="49" spans="1:34" x14ac:dyDescent="0.2">
      <c r="A49" s="347">
        <f t="shared" ca="1" si="6"/>
        <v>0.01</v>
      </c>
      <c r="B49" s="304">
        <f t="shared" ca="1" si="7"/>
        <v>0.45000000000000023</v>
      </c>
      <c r="D49" s="306">
        <f t="shared" ca="1" si="8"/>
        <v>9.4371450333356108</v>
      </c>
      <c r="E49" s="307">
        <f t="shared" ca="1" si="9"/>
        <v>94.191232825601475</v>
      </c>
      <c r="F49" s="304">
        <f t="shared" ca="1" si="10"/>
        <v>94.662812379449591</v>
      </c>
      <c r="G49" s="306">
        <f t="shared" ca="1" si="11"/>
        <v>3.808575206020052</v>
      </c>
      <c r="H49" s="307">
        <f t="shared" ca="1" si="12"/>
        <v>41.873970508182261</v>
      </c>
      <c r="I49" s="304">
        <f t="shared" ca="1" si="13"/>
        <v>42.04681499495566</v>
      </c>
      <c r="J49" s="306">
        <f t="shared" ca="1" si="14"/>
        <v>0.79701924586875894</v>
      </c>
      <c r="K49" s="307">
        <f t="shared" ca="1" si="15"/>
        <v>9.0009769216551785</v>
      </c>
      <c r="L49" s="304">
        <f t="shared" ca="1" si="0"/>
        <v>9.0361952846568308</v>
      </c>
      <c r="M49" s="306">
        <f t="shared" ca="1" si="16"/>
        <v>1.4800926071593568</v>
      </c>
      <c r="N49" s="304">
        <f t="shared" ca="1" si="17"/>
        <v>84.803059678745669</v>
      </c>
      <c r="P49" s="310">
        <f t="shared" ca="1" si="18"/>
        <v>2</v>
      </c>
      <c r="Q49" s="304">
        <f t="shared" ca="1" si="19"/>
        <v>809.61111111111109</v>
      </c>
      <c r="R49" s="306">
        <f t="shared" ca="1" si="20"/>
        <v>0.40630609549195612</v>
      </c>
      <c r="S49" s="307">
        <f t="shared" ca="1" si="21"/>
        <v>7.7030098316737128</v>
      </c>
      <c r="T49" s="304">
        <f t="shared" ca="1" si="1"/>
        <v>75.566526448719131</v>
      </c>
      <c r="U49" s="311">
        <f t="shared" ca="1" si="2"/>
        <v>0</v>
      </c>
      <c r="V49" s="306">
        <f t="shared" ca="1" si="3"/>
        <v>1.2238978763365802</v>
      </c>
      <c r="W49" s="304">
        <f t="shared" ca="1" si="4"/>
        <v>5.4391083236969644</v>
      </c>
      <c r="Y49" s="314" t="str">
        <f t="shared" ca="1" si="22"/>
        <v/>
      </c>
      <c r="Z49" s="315" t="str">
        <f t="shared" ca="1" si="23"/>
        <v/>
      </c>
      <c r="AA49" s="316" t="str">
        <f t="shared" ca="1" si="24"/>
        <v/>
      </c>
      <c r="AC49" s="310" t="e">
        <f t="shared" ca="1" si="25"/>
        <v>#N/A</v>
      </c>
      <c r="AD49" s="323" t="e">
        <f t="shared" ca="1" si="26"/>
        <v>#N/A</v>
      </c>
      <c r="AE49" s="324">
        <f t="shared" ca="1" si="5"/>
        <v>9.0009769216551785</v>
      </c>
      <c r="AG49" s="306">
        <f t="shared" ca="1" si="27"/>
        <v>94.658661107949399</v>
      </c>
      <c r="AH49" s="304">
        <f t="shared" ca="1" si="28"/>
        <v>104.42852165775965</v>
      </c>
    </row>
    <row r="50" spans="1:34" x14ac:dyDescent="0.2">
      <c r="A50" s="347">
        <f t="shared" ca="1" si="6"/>
        <v>0.01</v>
      </c>
      <c r="B50" s="304">
        <f t="shared" ca="1" si="7"/>
        <v>0.46000000000000024</v>
      </c>
      <c r="D50" s="306">
        <f t="shared" ca="1" si="8"/>
        <v>9.4363677552365157</v>
      </c>
      <c r="E50" s="307">
        <f t="shared" ca="1" si="9"/>
        <v>93.939608111337307</v>
      </c>
      <c r="F50" s="304">
        <f t="shared" ca="1" si="10"/>
        <v>94.412366819838269</v>
      </c>
      <c r="G50" s="306">
        <f t="shared" ca="1" si="11"/>
        <v>3.9029388835724173</v>
      </c>
      <c r="H50" s="307">
        <f t="shared" ca="1" si="12"/>
        <v>42.813366589295633</v>
      </c>
      <c r="I50" s="304">
        <f t="shared" ca="1" si="13"/>
        <v>42.990897764972495</v>
      </c>
      <c r="J50" s="306">
        <f t="shared" ca="1" si="14"/>
        <v>0.83557681631672132</v>
      </c>
      <c r="K50" s="307">
        <f t="shared" ca="1" si="15"/>
        <v>9.4244136071425686</v>
      </c>
      <c r="L50" s="304">
        <f t="shared" ca="1" si="0"/>
        <v>9.461382586834759</v>
      </c>
      <c r="M50" s="306">
        <f t="shared" ca="1" si="16"/>
        <v>1.4798859159873583</v>
      </c>
      <c r="N50" s="304">
        <f t="shared" ca="1" si="17"/>
        <v>84.791217146927551</v>
      </c>
      <c r="P50" s="310">
        <f t="shared" ca="1" si="18"/>
        <v>2</v>
      </c>
      <c r="Q50" s="304">
        <f t="shared" ca="1" si="19"/>
        <v>807.5</v>
      </c>
      <c r="R50" s="306">
        <f t="shared" ca="1" si="20"/>
        <v>0.40524662718558857</v>
      </c>
      <c r="S50" s="307">
        <f t="shared" ca="1" si="21"/>
        <v>7.6989573654018573</v>
      </c>
      <c r="T50" s="304">
        <f t="shared" ca="1" si="1"/>
        <v>75.526771754592218</v>
      </c>
      <c r="U50" s="311">
        <f t="shared" ca="1" si="2"/>
        <v>0</v>
      </c>
      <c r="V50" s="306">
        <f t="shared" ca="1" si="3"/>
        <v>1.2238460530967701</v>
      </c>
      <c r="W50" s="304">
        <f t="shared" ca="1" si="4"/>
        <v>5.6858597037199221</v>
      </c>
      <c r="Y50" s="314" t="str">
        <f t="shared" ca="1" si="22"/>
        <v/>
      </c>
      <c r="Z50" s="315" t="str">
        <f t="shared" ca="1" si="23"/>
        <v/>
      </c>
      <c r="AA50" s="316" t="str">
        <f t="shared" ca="1" si="24"/>
        <v/>
      </c>
      <c r="AC50" s="310" t="e">
        <f t="shared" ca="1" si="25"/>
        <v>#N/A</v>
      </c>
      <c r="AD50" s="323" t="e">
        <f t="shared" ca="1" si="26"/>
        <v>#N/A</v>
      </c>
      <c r="AE50" s="324">
        <f t="shared" ca="1" si="5"/>
        <v>9.4244136071425686</v>
      </c>
      <c r="AG50" s="306">
        <f t="shared" ca="1" si="27"/>
        <v>94.408185170459291</v>
      </c>
      <c r="AH50" s="304">
        <f t="shared" ca="1" si="28"/>
        <v>104.17785858649685</v>
      </c>
    </row>
    <row r="51" spans="1:34" x14ac:dyDescent="0.2">
      <c r="A51" s="347">
        <f t="shared" ca="1" si="6"/>
        <v>0.01</v>
      </c>
      <c r="B51" s="304">
        <f t="shared" ca="1" si="7"/>
        <v>0.47000000000000025</v>
      </c>
      <c r="D51" s="306">
        <f t="shared" ca="1" si="8"/>
        <v>9.4349612881099603</v>
      </c>
      <c r="E51" s="307">
        <f t="shared" ca="1" si="9"/>
        <v>93.686997630137142</v>
      </c>
      <c r="F51" s="304">
        <f t="shared" ca="1" si="10"/>
        <v>94.16088370155336</v>
      </c>
      <c r="G51" s="306">
        <f t="shared" ca="1" si="11"/>
        <v>3.9972884964535167</v>
      </c>
      <c r="H51" s="307">
        <f t="shared" ca="1" si="12"/>
        <v>43.750236565597007</v>
      </c>
      <c r="I51" s="304">
        <f t="shared" ca="1" si="13"/>
        <v>43.932465385743839</v>
      </c>
      <c r="J51" s="306">
        <f t="shared" ca="1" si="14"/>
        <v>0.875077953216851</v>
      </c>
      <c r="K51" s="307">
        <f t="shared" ca="1" si="15"/>
        <v>9.8572316229170323</v>
      </c>
      <c r="L51" s="304">
        <f t="shared" ca="1" si="0"/>
        <v>9.8959980139469383</v>
      </c>
      <c r="M51" s="306">
        <f t="shared" ca="1" si="16"/>
        <v>1.4796831950194733</v>
      </c>
      <c r="N51" s="304">
        <f t="shared" ca="1" si="17"/>
        <v>84.779602091048929</v>
      </c>
      <c r="P51" s="310">
        <f t="shared" ca="1" si="18"/>
        <v>2</v>
      </c>
      <c r="Q51" s="304">
        <f t="shared" ca="1" si="19"/>
        <v>805.3888888888888</v>
      </c>
      <c r="R51" s="306">
        <f t="shared" ca="1" si="20"/>
        <v>0.40418715887922096</v>
      </c>
      <c r="S51" s="307">
        <f t="shared" ca="1" si="21"/>
        <v>7.6949154938130651</v>
      </c>
      <c r="T51" s="304">
        <f t="shared" ca="1" si="1"/>
        <v>75.487120994306167</v>
      </c>
      <c r="U51" s="311">
        <f t="shared" ca="1" si="2"/>
        <v>0</v>
      </c>
      <c r="V51" s="306">
        <f t="shared" ca="1" si="3"/>
        <v>1.2237930839687361</v>
      </c>
      <c r="W51" s="304">
        <f t="shared" ca="1" si="4"/>
        <v>5.9373884671494448</v>
      </c>
      <c r="Y51" s="314" t="str">
        <f t="shared" ca="1" si="22"/>
        <v/>
      </c>
      <c r="Z51" s="315" t="str">
        <f t="shared" ca="1" si="23"/>
        <v/>
      </c>
      <c r="AA51" s="316" t="str">
        <f t="shared" ca="1" si="24"/>
        <v/>
      </c>
      <c r="AC51" s="310" t="e">
        <f t="shared" ca="1" si="25"/>
        <v>#N/A</v>
      </c>
      <c r="AD51" s="323" t="e">
        <f t="shared" ca="1" si="26"/>
        <v>#N/A</v>
      </c>
      <c r="AE51" s="324">
        <f t="shared" ca="1" si="5"/>
        <v>9.8572316229170323</v>
      </c>
      <c r="AG51" s="306">
        <f t="shared" ca="1" si="27"/>
        <v>94.156671805164564</v>
      </c>
      <c r="AH51" s="304">
        <f t="shared" ca="1" si="28"/>
        <v>103.92616135006983</v>
      </c>
    </row>
    <row r="52" spans="1:34" x14ac:dyDescent="0.2">
      <c r="A52" s="347">
        <f t="shared" ca="1" si="6"/>
        <v>0.01</v>
      </c>
      <c r="B52" s="304">
        <f t="shared" ca="1" si="7"/>
        <v>0.48000000000000026</v>
      </c>
      <c r="D52" s="306">
        <f t="shared" ca="1" si="8"/>
        <v>9.4329473144499136</v>
      </c>
      <c r="E52" s="307">
        <f t="shared" ca="1" si="9"/>
        <v>93.433405344434689</v>
      </c>
      <c r="F52" s="304">
        <f t="shared" ca="1" si="10"/>
        <v>93.908368792640758</v>
      </c>
      <c r="G52" s="306">
        <f t="shared" ca="1" si="11"/>
        <v>4.0916179695980155</v>
      </c>
      <c r="H52" s="307">
        <f t="shared" ca="1" si="12"/>
        <v>44.684570619041352</v>
      </c>
      <c r="I52" s="304">
        <f t="shared" ca="1" si="13"/>
        <v>44.8715075411695</v>
      </c>
      <c r="J52" s="306">
        <f t="shared" ca="1" si="14"/>
        <v>0.91552248554710869</v>
      </c>
      <c r="K52" s="307">
        <f t="shared" ca="1" si="15"/>
        <v>10.299405658840223</v>
      </c>
      <c r="L52" s="304">
        <f t="shared" ca="1" si="0"/>
        <v>10.340016361055353</v>
      </c>
      <c r="M52" s="306">
        <f t="shared" ca="1" si="16"/>
        <v>1.479484275103202</v>
      </c>
      <c r="N52" s="304">
        <f t="shared" ca="1" si="17"/>
        <v>84.768204819385488</v>
      </c>
      <c r="P52" s="310">
        <f t="shared" ca="1" si="18"/>
        <v>2</v>
      </c>
      <c r="Q52" s="304">
        <f t="shared" ca="1" si="19"/>
        <v>803.27777777777771</v>
      </c>
      <c r="R52" s="306">
        <f t="shared" ca="1" si="20"/>
        <v>0.40312769057285341</v>
      </c>
      <c r="S52" s="307">
        <f t="shared" ca="1" si="21"/>
        <v>7.6908842169073361</v>
      </c>
      <c r="T52" s="304">
        <f t="shared" ca="1" si="1"/>
        <v>75.447574167860978</v>
      </c>
      <c r="U52" s="311">
        <f t="shared" ca="1" si="2"/>
        <v>0</v>
      </c>
      <c r="V52" s="306">
        <f t="shared" ca="1" si="3"/>
        <v>1.2237389721986358</v>
      </c>
      <c r="W52" s="304">
        <f t="shared" ca="1" si="4"/>
        <v>6.1936467424464219</v>
      </c>
      <c r="Y52" s="314" t="str">
        <f t="shared" ca="1" si="22"/>
        <v/>
      </c>
      <c r="Z52" s="315" t="str">
        <f t="shared" ca="1" si="23"/>
        <v/>
      </c>
      <c r="AA52" s="316" t="str">
        <f t="shared" ca="1" si="24"/>
        <v/>
      </c>
      <c r="AC52" s="310" t="e">
        <f t="shared" ca="1" si="25"/>
        <v>#N/A</v>
      </c>
      <c r="AD52" s="323" t="e">
        <f t="shared" ca="1" si="26"/>
        <v>#N/A</v>
      </c>
      <c r="AE52" s="324">
        <f t="shared" ca="1" si="5"/>
        <v>10.299405658840223</v>
      </c>
      <c r="AG52" s="306">
        <f t="shared" ca="1" si="27"/>
        <v>93.904126766233063</v>
      </c>
      <c r="AH52" s="304">
        <f t="shared" ca="1" si="28"/>
        <v>103.67343556645758</v>
      </c>
    </row>
    <row r="53" spans="1:34" x14ac:dyDescent="0.2">
      <c r="A53" s="347">
        <f t="shared" ca="1" si="6"/>
        <v>0.01</v>
      </c>
      <c r="B53" s="304">
        <f t="shared" ca="1" si="7"/>
        <v>0.49000000000000027</v>
      </c>
      <c r="D53" s="306">
        <f t="shared" ca="1" si="8"/>
        <v>9.4303461701526192</v>
      </c>
      <c r="E53" s="307">
        <f t="shared" ca="1" si="9"/>
        <v>93.178835353949424</v>
      </c>
      <c r="F53" s="304">
        <f t="shared" ca="1" si="10"/>
        <v>93.654827888408022</v>
      </c>
      <c r="G53" s="306">
        <f t="shared" ca="1" si="11"/>
        <v>4.1859214312995414</v>
      </c>
      <c r="H53" s="307">
        <f t="shared" ca="1" si="12"/>
        <v>45.616358972580848</v>
      </c>
      <c r="I53" s="304">
        <f t="shared" ca="1" si="13"/>
        <v>45.8080139729324</v>
      </c>
      <c r="J53" s="306">
        <f t="shared" ca="1" si="14"/>
        <v>0.95691018255159643</v>
      </c>
      <c r="K53" s="307">
        <f t="shared" ca="1" si="15"/>
        <v>10.750910306798335</v>
      </c>
      <c r="L53" s="304">
        <f t="shared" ca="1" si="0"/>
        <v>10.793412320591372</v>
      </c>
      <c r="M53" s="306">
        <f t="shared" ca="1" si="16"/>
        <v>1.4792889977124273</v>
      </c>
      <c r="N53" s="304">
        <f t="shared" ca="1" si="17"/>
        <v>84.757016249059774</v>
      </c>
      <c r="P53" s="310">
        <f t="shared" ca="1" si="18"/>
        <v>2</v>
      </c>
      <c r="Q53" s="304">
        <f t="shared" ca="1" si="19"/>
        <v>801.16666666666663</v>
      </c>
      <c r="R53" s="306">
        <f t="shared" ca="1" si="20"/>
        <v>0.40206822226648586</v>
      </c>
      <c r="S53" s="307">
        <f t="shared" ca="1" si="21"/>
        <v>7.6868635346846714</v>
      </c>
      <c r="T53" s="304">
        <f t="shared" ca="1" si="1"/>
        <v>75.408131275256636</v>
      </c>
      <c r="U53" s="311">
        <f t="shared" ca="1" si="2"/>
        <v>0</v>
      </c>
      <c r="V53" s="306">
        <f t="shared" ca="1" si="3"/>
        <v>1.2236837210472655</v>
      </c>
      <c r="W53" s="304">
        <f t="shared" ca="1" si="4"/>
        <v>6.454586537634257</v>
      </c>
      <c r="Y53" s="314" t="str">
        <f t="shared" ca="1" si="22"/>
        <v/>
      </c>
      <c r="Z53" s="315" t="str">
        <f t="shared" ca="1" si="23"/>
        <v/>
      </c>
      <c r="AA53" s="316" t="str">
        <f t="shared" ca="1" si="24"/>
        <v/>
      </c>
      <c r="AC53" s="310" t="e">
        <f t="shared" ca="1" si="25"/>
        <v>#N/A</v>
      </c>
      <c r="AD53" s="323" t="e">
        <f t="shared" ca="1" si="26"/>
        <v>#N/A</v>
      </c>
      <c r="AE53" s="324">
        <f t="shared" ca="1" si="5"/>
        <v>10.750910306798335</v>
      </c>
      <c r="AG53" s="306">
        <f t="shared" ca="1" si="27"/>
        <v>93.650555835846603</v>
      </c>
      <c r="AH53" s="304">
        <f t="shared" ca="1" si="28"/>
        <v>103.41968689012656</v>
      </c>
    </row>
    <row r="54" spans="1:34" x14ac:dyDescent="0.2">
      <c r="A54" s="347">
        <f t="shared" ca="1" si="6"/>
        <v>0.01</v>
      </c>
      <c r="B54" s="304">
        <f t="shared" ca="1" si="7"/>
        <v>0.50000000000000022</v>
      </c>
      <c r="D54" s="306">
        <f t="shared" ca="1" si="8"/>
        <v>9.427176958068511</v>
      </c>
      <c r="E54" s="307">
        <f t="shared" ca="1" si="9"/>
        <v>92.923291886892912</v>
      </c>
      <c r="F54" s="304">
        <f t="shared" ca="1" si="10"/>
        <v>93.400266811692973</v>
      </c>
      <c r="G54" s="306">
        <f t="shared" ca="1" si="11"/>
        <v>4.2801932008802268</v>
      </c>
      <c r="H54" s="307">
        <f t="shared" ca="1" si="12"/>
        <v>46.545591891449774</v>
      </c>
      <c r="I54" s="304">
        <f t="shared" ca="1" si="13"/>
        <v>46.741974480783931</v>
      </c>
      <c r="J54" s="306">
        <f t="shared" ca="1" si="14"/>
        <v>0.99924075571249527</v>
      </c>
      <c r="K54" s="307">
        <f t="shared" ca="1" si="15"/>
        <v>11.211720061118488</v>
      </c>
      <c r="L54" s="304">
        <f t="shared" ca="1" si="0"/>
        <v>11.256160482898403</v>
      </c>
      <c r="M54" s="306">
        <f t="shared" ca="1" si="16"/>
        <v>1.479097214068787</v>
      </c>
      <c r="N54" s="304">
        <f t="shared" ca="1" si="17"/>
        <v>84.746027855699552</v>
      </c>
      <c r="P54" s="310">
        <f t="shared" ca="1" si="18"/>
        <v>2</v>
      </c>
      <c r="Q54" s="304">
        <f t="shared" ca="1" si="19"/>
        <v>799.05555555555554</v>
      </c>
      <c r="R54" s="306">
        <f t="shared" ca="1" si="20"/>
        <v>0.40100875396011837</v>
      </c>
      <c r="S54" s="307">
        <f t="shared" ca="1" si="21"/>
        <v>7.68285344714507</v>
      </c>
      <c r="T54" s="304">
        <f t="shared" ca="1" si="1"/>
        <v>75.368792316493142</v>
      </c>
      <c r="U54" s="311">
        <f t="shared" ca="1" si="2"/>
        <v>0</v>
      </c>
      <c r="V54" s="306">
        <f t="shared" ca="1" si="3"/>
        <v>1.2236273337899775</v>
      </c>
      <c r="W54" s="304">
        <f t="shared" ca="1" si="4"/>
        <v>6.7201597442461001</v>
      </c>
      <c r="Y54" s="314" t="str">
        <f t="shared" ca="1" si="22"/>
        <v/>
      </c>
      <c r="Z54" s="315" t="str">
        <f t="shared" ca="1" si="23"/>
        <v/>
      </c>
      <c r="AA54" s="316" t="str">
        <f t="shared" ca="1" si="24"/>
        <v/>
      </c>
      <c r="AC54" s="310" t="e">
        <f t="shared" ca="1" si="25"/>
        <v>#N/A</v>
      </c>
      <c r="AD54" s="323" t="e">
        <f t="shared" ca="1" si="26"/>
        <v>#N/A</v>
      </c>
      <c r="AE54" s="324">
        <f t="shared" ca="1" si="5"/>
        <v>11.211720061118488</v>
      </c>
      <c r="AG54" s="306">
        <f t="shared" ca="1" si="27"/>
        <v>93.395964824405041</v>
      </c>
      <c r="AH54" s="304">
        <f t="shared" ca="1" si="28"/>
        <v>103.1649210115351</v>
      </c>
    </row>
    <row r="55" spans="1:34" x14ac:dyDescent="0.2">
      <c r="A55" s="347">
        <f t="shared" ca="1" si="6"/>
        <v>0.01</v>
      </c>
      <c r="B55" s="304">
        <f t="shared" ca="1" si="7"/>
        <v>0.51000000000000023</v>
      </c>
      <c r="D55" s="306">
        <f t="shared" ca="1" si="8"/>
        <v>9.4290122881888152</v>
      </c>
      <c r="E55" s="307">
        <f t="shared" ca="1" si="9"/>
        <v>92.727184026002732</v>
      </c>
      <c r="F55" s="304">
        <f t="shared" ca="1" si="10"/>
        <v>93.205348184119728</v>
      </c>
      <c r="G55" s="306">
        <f t="shared" ca="1" si="11"/>
        <v>4.3744833237621146</v>
      </c>
      <c r="H55" s="307">
        <f t="shared" ca="1" si="12"/>
        <v>47.472863731709801</v>
      </c>
      <c r="I55" s="304">
        <f t="shared" ca="1" si="13"/>
        <v>47.673985518722475</v>
      </c>
      <c r="J55" s="306">
        <f t="shared" ca="1" si="14"/>
        <v>1.0425141383357071</v>
      </c>
      <c r="K55" s="307">
        <f t="shared" ca="1" si="15"/>
        <v>11.681812339234286</v>
      </c>
      <c r="L55" s="304">
        <f t="shared" ca="1" si="0"/>
        <v>11.728238369751709</v>
      </c>
      <c r="M55" s="306">
        <f t="shared" ca="1" si="16"/>
        <v>1.4789087867499366</v>
      </c>
      <c r="N55" s="304">
        <f t="shared" ca="1" si="17"/>
        <v>84.735231765584459</v>
      </c>
      <c r="P55" s="310">
        <f t="shared" ca="1" si="18"/>
        <v>3</v>
      </c>
      <c r="Q55" s="304">
        <f t="shared" ca="1" si="19"/>
        <v>797.41</v>
      </c>
      <c r="R55" s="306">
        <f t="shared" ca="1" si="20"/>
        <v>0.40018292629604973</v>
      </c>
      <c r="S55" s="307">
        <f t="shared" ca="1" si="21"/>
        <v>7.6788516178821098</v>
      </c>
      <c r="T55" s="304">
        <f t="shared" ca="1" si="1"/>
        <v>75.329534371423506</v>
      </c>
      <c r="U55" s="311">
        <f t="shared" ca="1" si="2"/>
        <v>0</v>
      </c>
      <c r="V55" s="306">
        <f t="shared" ca="1" si="3"/>
        <v>1.2235698133470485</v>
      </c>
      <c r="W55" s="304">
        <f t="shared" ca="1" si="4"/>
        <v>6.9904960298571641</v>
      </c>
      <c r="Y55" s="314" t="str">
        <f t="shared" ca="1" si="22"/>
        <v/>
      </c>
      <c r="Z55" s="315" t="str">
        <f t="shared" ca="1" si="23"/>
        <v/>
      </c>
      <c r="AA55" s="316" t="str">
        <f t="shared" ca="1" si="24"/>
        <v/>
      </c>
      <c r="AC55" s="310" t="e">
        <f t="shared" ca="1" si="25"/>
        <v>#N/A</v>
      </c>
      <c r="AD55" s="323" t="e">
        <f t="shared" ca="1" si="26"/>
        <v>#N/A</v>
      </c>
      <c r="AE55" s="324">
        <f t="shared" ca="1" si="5"/>
        <v>11.681812339234286</v>
      </c>
      <c r="AG55" s="306">
        <f t="shared" ca="1" si="27"/>
        <v>93.20101916095912</v>
      </c>
      <c r="AH55" s="304">
        <f t="shared" ca="1" si="28"/>
        <v>102.9698032469382</v>
      </c>
    </row>
    <row r="56" spans="1:34" x14ac:dyDescent="0.2">
      <c r="A56" s="347">
        <f t="shared" ca="1" si="6"/>
        <v>0.01</v>
      </c>
      <c r="B56" s="304">
        <f t="shared" ca="1" si="7"/>
        <v>0.52000000000000024</v>
      </c>
      <c r="D56" s="306">
        <f t="shared" ca="1" si="8"/>
        <v>9.4359124056254622</v>
      </c>
      <c r="E56" s="307">
        <f t="shared" ca="1" si="9"/>
        <v>92.590615264288019</v>
      </c>
      <c r="F56" s="304">
        <f t="shared" ca="1" si="10"/>
        <v>93.070180390638768</v>
      </c>
      <c r="G56" s="306">
        <f t="shared" ca="1" si="11"/>
        <v>4.4688424478183695</v>
      </c>
      <c r="H56" s="307">
        <f t="shared" ca="1" si="12"/>
        <v>48.398769884352681</v>
      </c>
      <c r="I56" s="304">
        <f t="shared" ca="1" si="13"/>
        <v>48.604644625199626</v>
      </c>
      <c r="J56" s="306">
        <f t="shared" ca="1" si="14"/>
        <v>1.0867307671936095</v>
      </c>
      <c r="K56" s="307">
        <f t="shared" ca="1" si="15"/>
        <v>12.161170507314598</v>
      </c>
      <c r="L56" s="304">
        <f t="shared" ca="1" si="0"/>
        <v>12.209629473016109</v>
      </c>
      <c r="M56" s="306">
        <f t="shared" ca="1" si="16"/>
        <v>1.4787235886431243</v>
      </c>
      <c r="N56" s="304">
        <f t="shared" ca="1" si="17"/>
        <v>84.724620695690291</v>
      </c>
      <c r="P56" s="310">
        <f t="shared" ca="1" si="18"/>
        <v>3</v>
      </c>
      <c r="Q56" s="304">
        <f t="shared" ca="1" si="19"/>
        <v>796.23</v>
      </c>
      <c r="R56" s="306">
        <f t="shared" ca="1" si="20"/>
        <v>0.39959073927428013</v>
      </c>
      <c r="S56" s="307">
        <f t="shared" ca="1" si="21"/>
        <v>7.6748557104893669</v>
      </c>
      <c r="T56" s="304">
        <f t="shared" ca="1" si="1"/>
        <v>75.290334519900696</v>
      </c>
      <c r="U56" s="311">
        <f t="shared" ca="1" si="2"/>
        <v>0</v>
      </c>
      <c r="V56" s="306">
        <f t="shared" ca="1" si="3"/>
        <v>1.2235111619135453</v>
      </c>
      <c r="W56" s="304">
        <f t="shared" ca="1" si="4"/>
        <v>7.2657390977807514</v>
      </c>
      <c r="Y56" s="314" t="str">
        <f t="shared" ca="1" si="22"/>
        <v/>
      </c>
      <c r="Z56" s="315" t="str">
        <f t="shared" ca="1" si="23"/>
        <v/>
      </c>
      <c r="AA56" s="316" t="str">
        <f t="shared" ca="1" si="24"/>
        <v/>
      </c>
      <c r="AC56" s="310" t="e">
        <f t="shared" ca="1" si="25"/>
        <v>#N/A</v>
      </c>
      <c r="AD56" s="323" t="e">
        <f t="shared" ca="1" si="26"/>
        <v>#N/A</v>
      </c>
      <c r="AE56" s="324">
        <f t="shared" ca="1" si="5"/>
        <v>12.161170507314598</v>
      </c>
      <c r="AG56" s="306">
        <f t="shared" ca="1" si="27"/>
        <v>93.065827294787013</v>
      </c>
      <c r="AH56" s="304">
        <f t="shared" ca="1" si="28"/>
        <v>102.83444194155659</v>
      </c>
    </row>
    <row r="57" spans="1:34" x14ac:dyDescent="0.2">
      <c r="A57" s="347">
        <f t="shared" ca="1" si="6"/>
        <v>0.01</v>
      </c>
      <c r="B57" s="304">
        <f t="shared" ca="1" si="7"/>
        <v>0.53000000000000025</v>
      </c>
      <c r="D57" s="306">
        <f t="shared" ca="1" si="8"/>
        <v>9.4423520911462262</v>
      </c>
      <c r="E57" s="307">
        <f t="shared" ca="1" si="9"/>
        <v>92.453221709577775</v>
      </c>
      <c r="F57" s="304">
        <f t="shared" ca="1" si="10"/>
        <v>92.934149899235194</v>
      </c>
      <c r="G57" s="306">
        <f t="shared" ca="1" si="11"/>
        <v>4.5632659687298318</v>
      </c>
      <c r="H57" s="307">
        <f t="shared" ca="1" si="12"/>
        <v>49.323302101448462</v>
      </c>
      <c r="I57" s="304">
        <f t="shared" ca="1" si="13"/>
        <v>49.533943175282516</v>
      </c>
      <c r="J57" s="306">
        <f t="shared" ca="1" si="14"/>
        <v>1.1318913092763505</v>
      </c>
      <c r="K57" s="307">
        <f t="shared" ca="1" si="15"/>
        <v>12.649780867243603</v>
      </c>
      <c r="L57" s="304">
        <f t="shared" ca="1" si="0"/>
        <v>12.700320229242161</v>
      </c>
      <c r="M57" s="306">
        <f t="shared" ca="1" si="16"/>
        <v>1.4785414997819921</v>
      </c>
      <c r="N57" s="304">
        <f t="shared" ca="1" si="17"/>
        <v>84.714187772451069</v>
      </c>
      <c r="P57" s="310">
        <f t="shared" ca="1" si="18"/>
        <v>3</v>
      </c>
      <c r="Q57" s="304">
        <f t="shared" ca="1" si="19"/>
        <v>795.05</v>
      </c>
      <c r="R57" s="306">
        <f t="shared" ca="1" si="20"/>
        <v>0.39899855225251041</v>
      </c>
      <c r="S57" s="307">
        <f t="shared" ca="1" si="21"/>
        <v>7.6708657249668422</v>
      </c>
      <c r="T57" s="304">
        <f t="shared" ca="1" si="1"/>
        <v>75.251192761924727</v>
      </c>
      <c r="U57" s="311">
        <f t="shared" ca="1" si="2"/>
        <v>0</v>
      </c>
      <c r="V57" s="306">
        <f t="shared" ca="1" si="3"/>
        <v>1.2234513813281052</v>
      </c>
      <c r="W57" s="304">
        <f t="shared" ca="1" si="4"/>
        <v>7.5458616404173009</v>
      </c>
      <c r="Y57" s="314" t="str">
        <f t="shared" ca="1" si="22"/>
        <v/>
      </c>
      <c r="Z57" s="315" t="str">
        <f t="shared" ca="1" si="23"/>
        <v/>
      </c>
      <c r="AA57" s="316" t="str">
        <f t="shared" ca="1" si="24"/>
        <v/>
      </c>
      <c r="AC57" s="310" t="e">
        <f t="shared" ca="1" si="25"/>
        <v>#N/A</v>
      </c>
      <c r="AD57" s="323" t="e">
        <f t="shared" ca="1" si="26"/>
        <v>#N/A</v>
      </c>
      <c r="AE57" s="324">
        <f t="shared" ca="1" si="5"/>
        <v>12.649780867243603</v>
      </c>
      <c r="AG57" s="306">
        <f t="shared" ca="1" si="27"/>
        <v>92.929772890043083</v>
      </c>
      <c r="AH57" s="304">
        <f t="shared" ca="1" si="28"/>
        <v>102.69822066343424</v>
      </c>
    </row>
    <row r="58" spans="1:34" x14ac:dyDescent="0.2">
      <c r="A58" s="347">
        <f t="shared" ca="1" si="6"/>
        <v>0.01</v>
      </c>
      <c r="B58" s="304">
        <f t="shared" ca="1" si="7"/>
        <v>0.54000000000000026</v>
      </c>
      <c r="D58" s="306">
        <f t="shared" ca="1" si="8"/>
        <v>9.4483446857090225</v>
      </c>
      <c r="E58" s="307">
        <f t="shared" ca="1" si="9"/>
        <v>92.315004872673839</v>
      </c>
      <c r="F58" s="304">
        <f t="shared" ca="1" si="10"/>
        <v>92.797259344992298</v>
      </c>
      <c r="G58" s="306">
        <f t="shared" ca="1" si="11"/>
        <v>4.6577494155869221</v>
      </c>
      <c r="H58" s="307">
        <f t="shared" ca="1" si="12"/>
        <v>50.246452150175202</v>
      </c>
      <c r="I58" s="304">
        <f t="shared" ca="1" si="13"/>
        <v>50.461872570270778</v>
      </c>
      <c r="J58" s="306">
        <f t="shared" ca="1" si="14"/>
        <v>1.1779963861979343</v>
      </c>
      <c r="K58" s="307">
        <f t="shared" ca="1" si="15"/>
        <v>13.147629638501721</v>
      </c>
      <c r="L58" s="304">
        <f t="shared" ca="1" si="0"/>
        <v>13.200296988973554</v>
      </c>
      <c r="M58" s="306">
        <f t="shared" ca="1" si="16"/>
        <v>1.478362406816472</v>
      </c>
      <c r="N58" s="304">
        <f t="shared" ca="1" si="17"/>
        <v>84.703926501386292</v>
      </c>
      <c r="P58" s="310">
        <f t="shared" ca="1" si="18"/>
        <v>3</v>
      </c>
      <c r="Q58" s="304">
        <f t="shared" ca="1" si="19"/>
        <v>793.87</v>
      </c>
      <c r="R58" s="306">
        <f t="shared" ca="1" si="20"/>
        <v>0.3984063652307408</v>
      </c>
      <c r="S58" s="307">
        <f t="shared" ca="1" si="21"/>
        <v>7.6668816613145347</v>
      </c>
      <c r="T58" s="304">
        <f t="shared" ca="1" si="1"/>
        <v>75.212109097495585</v>
      </c>
      <c r="U58" s="311">
        <f t="shared" ca="1" si="2"/>
        <v>0</v>
      </c>
      <c r="V58" s="306">
        <f t="shared" ca="1" si="3"/>
        <v>1.2233904734422376</v>
      </c>
      <c r="W58" s="304">
        <f t="shared" ca="1" si="4"/>
        <v>7.8308361746841104</v>
      </c>
      <c r="Y58" s="314" t="str">
        <f t="shared" ca="1" si="22"/>
        <v/>
      </c>
      <c r="Z58" s="315" t="str">
        <f t="shared" ca="1" si="23"/>
        <v/>
      </c>
      <c r="AA58" s="316" t="str">
        <f t="shared" ca="1" si="24"/>
        <v/>
      </c>
      <c r="AC58" s="310" t="e">
        <f t="shared" ca="1" si="25"/>
        <v>#N/A</v>
      </c>
      <c r="AD58" s="323" t="e">
        <f t="shared" ca="1" si="26"/>
        <v>#N/A</v>
      </c>
      <c r="AE58" s="324">
        <f t="shared" ca="1" si="5"/>
        <v>13.147629638501721</v>
      </c>
      <c r="AG58" s="306">
        <f t="shared" ca="1" si="27"/>
        <v>92.792858572388184</v>
      </c>
      <c r="AH58" s="304">
        <f t="shared" ca="1" si="28"/>
        <v>102.56114194734583</v>
      </c>
    </row>
    <row r="59" spans="1:34" x14ac:dyDescent="0.2">
      <c r="A59" s="347">
        <f t="shared" ca="1" si="6"/>
        <v>0.01</v>
      </c>
      <c r="B59" s="304">
        <f t="shared" ca="1" si="7"/>
        <v>0.55000000000000027</v>
      </c>
      <c r="D59" s="306">
        <f t="shared" ca="1" si="8"/>
        <v>9.453902809849307</v>
      </c>
      <c r="E59" s="307">
        <f t="shared" ca="1" si="9"/>
        <v>92.175966350584034</v>
      </c>
      <c r="F59" s="304">
        <f t="shared" ca="1" si="10"/>
        <v>92.659511389830229</v>
      </c>
      <c r="G59" s="306">
        <f t="shared" ca="1" si="11"/>
        <v>4.7522884436854156</v>
      </c>
      <c r="H59" s="307">
        <f t="shared" ca="1" si="12"/>
        <v>51.16821181368104</v>
      </c>
      <c r="I59" s="304">
        <f t="shared" ca="1" si="13"/>
        <v>51.388424237971279</v>
      </c>
      <c r="J59" s="306">
        <f t="shared" ca="1" si="14"/>
        <v>1.2250465754942961</v>
      </c>
      <c r="K59" s="307">
        <f t="shared" ca="1" si="15"/>
        <v>13.654702958321002</v>
      </c>
      <c r="L59" s="304">
        <f t="shared" ca="1" si="0"/>
        <v>13.70954601699526</v>
      </c>
      <c r="M59" s="306">
        <f t="shared" ca="1" si="16"/>
        <v>1.4781862025311592</v>
      </c>
      <c r="N59" s="304">
        <f t="shared" ca="1" si="17"/>
        <v>84.693830739505742</v>
      </c>
      <c r="P59" s="310">
        <f t="shared" ca="1" si="18"/>
        <v>3</v>
      </c>
      <c r="Q59" s="304">
        <f t="shared" ca="1" si="19"/>
        <v>792.68999999999994</v>
      </c>
      <c r="R59" s="306">
        <f t="shared" ca="1" si="20"/>
        <v>0.39781417820897108</v>
      </c>
      <c r="S59" s="307">
        <f t="shared" ca="1" si="21"/>
        <v>7.6629035195324446</v>
      </c>
      <c r="T59" s="304">
        <f t="shared" ca="1" si="1"/>
        <v>75.173083526613283</v>
      </c>
      <c r="U59" s="311">
        <f t="shared" ca="1" si="2"/>
        <v>0</v>
      </c>
      <c r="V59" s="306">
        <f t="shared" ca="1" si="3"/>
        <v>1.2233284401202875</v>
      </c>
      <c r="W59" s="304">
        <f t="shared" ca="1" si="4"/>
        <v>8.1206350439398864</v>
      </c>
      <c r="Y59" s="314" t="str">
        <f t="shared" ca="1" si="22"/>
        <v/>
      </c>
      <c r="Z59" s="315" t="str">
        <f t="shared" ca="1" si="23"/>
        <v/>
      </c>
      <c r="AA59" s="316" t="str">
        <f t="shared" ca="1" si="24"/>
        <v/>
      </c>
      <c r="AC59" s="310" t="e">
        <f t="shared" ca="1" si="25"/>
        <v>#N/A</v>
      </c>
      <c r="AD59" s="323" t="e">
        <f t="shared" ca="1" si="26"/>
        <v>#N/A</v>
      </c>
      <c r="AE59" s="324">
        <f t="shared" ca="1" si="5"/>
        <v>13.654702958321002</v>
      </c>
      <c r="AG59" s="306">
        <f t="shared" ca="1" si="27"/>
        <v>92.655086994788505</v>
      </c>
      <c r="AH59" s="304">
        <f t="shared" ca="1" si="28"/>
        <v>102.42320836021753</v>
      </c>
    </row>
    <row r="60" spans="1:34" x14ac:dyDescent="0.2">
      <c r="A60" s="347">
        <f t="shared" ca="1" si="6"/>
        <v>0.01</v>
      </c>
      <c r="B60" s="304">
        <f t="shared" ca="1" si="7"/>
        <v>0.56000000000000028</v>
      </c>
      <c r="D60" s="306">
        <f t="shared" ca="1" si="8"/>
        <v>9.4590384163030841</v>
      </c>
      <c r="E60" s="307">
        <f t="shared" ca="1" si="9"/>
        <v>92.036107822486755</v>
      </c>
      <c r="F60" s="304">
        <f t="shared" ca="1" si="10"/>
        <v>92.520908722696333</v>
      </c>
      <c r="G60" s="306">
        <f t="shared" ca="1" si="11"/>
        <v>4.846878827848446</v>
      </c>
      <c r="H60" s="307">
        <f t="shared" ca="1" si="12"/>
        <v>52.088572891905905</v>
      </c>
      <c r="I60" s="304">
        <f t="shared" ca="1" si="13"/>
        <v>52.313589632974342</v>
      </c>
      <c r="J60" s="306">
        <f t="shared" ca="1" si="14"/>
        <v>1.2730424118519654</v>
      </c>
      <c r="K60" s="307">
        <f t="shared" ca="1" si="15"/>
        <v>14.170986881848936</v>
      </c>
      <c r="L60" s="304">
        <f t="shared" ca="1" si="0"/>
        <v>14.228053492586696</v>
      </c>
      <c r="M60" s="306">
        <f t="shared" ca="1" si="16"/>
        <v>1.4780127854069232</v>
      </c>
      <c r="N60" s="304">
        <f t="shared" ca="1" si="17"/>
        <v>84.683894670191734</v>
      </c>
      <c r="P60" s="310">
        <f t="shared" ca="1" si="18"/>
        <v>3</v>
      </c>
      <c r="Q60" s="304">
        <f t="shared" ca="1" si="19"/>
        <v>791.51</v>
      </c>
      <c r="R60" s="306">
        <f t="shared" ca="1" si="20"/>
        <v>0.39722199118720147</v>
      </c>
      <c r="S60" s="307">
        <f t="shared" ca="1" si="21"/>
        <v>7.6589312996205727</v>
      </c>
      <c r="T60" s="304">
        <f t="shared" ca="1" si="1"/>
        <v>75.134116049277822</v>
      </c>
      <c r="U60" s="311">
        <f t="shared" ca="1" si="2"/>
        <v>0</v>
      </c>
      <c r="V60" s="306">
        <f t="shared" ca="1" si="3"/>
        <v>1.2232652832393962</v>
      </c>
      <c r="W60" s="304">
        <f t="shared" ca="1" si="4"/>
        <v>8.415230419921933</v>
      </c>
      <c r="Y60" s="314" t="str">
        <f t="shared" ca="1" si="22"/>
        <v/>
      </c>
      <c r="Z60" s="315" t="str">
        <f t="shared" ca="1" si="23"/>
        <v/>
      </c>
      <c r="AA60" s="316" t="str">
        <f t="shared" ca="1" si="24"/>
        <v/>
      </c>
      <c r="AC60" s="310" t="e">
        <f t="shared" ca="1" si="25"/>
        <v>#N/A</v>
      </c>
      <c r="AD60" s="323" t="e">
        <f t="shared" ca="1" si="26"/>
        <v>#N/A</v>
      </c>
      <c r="AE60" s="324">
        <f t="shared" ca="1" si="5"/>
        <v>14.170986881848936</v>
      </c>
      <c r="AG60" s="306">
        <f t="shared" ca="1" si="27"/>
        <v>92.516460837672355</v>
      </c>
      <c r="AH60" s="304">
        <f t="shared" ca="1" si="28"/>
        <v>102.28442250093948</v>
      </c>
    </row>
    <row r="61" spans="1:34" x14ac:dyDescent="0.2">
      <c r="A61" s="347">
        <f t="shared" ca="1" si="6"/>
        <v>0.01</v>
      </c>
      <c r="B61" s="304">
        <f t="shared" ca="1" si="7"/>
        <v>0.57000000000000028</v>
      </c>
      <c r="D61" s="306">
        <f t="shared" ca="1" si="8"/>
        <v>9.4637628379104708</v>
      </c>
      <c r="E61" s="307">
        <f t="shared" ca="1" si="9"/>
        <v>91.895431046031362</v>
      </c>
      <c r="F61" s="304">
        <f t="shared" ca="1" si="10"/>
        <v>92.3814540597198</v>
      </c>
      <c r="G61" s="306">
        <f t="shared" ca="1" si="11"/>
        <v>4.9415164562275509</v>
      </c>
      <c r="H61" s="307">
        <f t="shared" ca="1" si="12"/>
        <v>53.007527202366219</v>
      </c>
      <c r="I61" s="304">
        <f t="shared" ca="1" si="13"/>
        <v>53.237360236931003</v>
      </c>
      <c r="J61" s="306">
        <f t="shared" ca="1" si="14"/>
        <v>1.3219843882723454</v>
      </c>
      <c r="K61" s="307">
        <f t="shared" ca="1" si="15"/>
        <v>14.696467382320296</v>
      </c>
      <c r="L61" s="304">
        <f t="shared" ca="1" si="0"/>
        <v>14.75580550977954</v>
      </c>
      <c r="M61" s="306">
        <f t="shared" ca="1" si="16"/>
        <v>1.4778420592211665</v>
      </c>
      <c r="N61" s="304">
        <f t="shared" ca="1" si="17"/>
        <v>84.674112780295502</v>
      </c>
      <c r="P61" s="310">
        <f t="shared" ca="1" si="18"/>
        <v>3</v>
      </c>
      <c r="Q61" s="304">
        <f t="shared" ca="1" si="19"/>
        <v>790.32999999999993</v>
      </c>
      <c r="R61" s="306">
        <f t="shared" ca="1" si="20"/>
        <v>0.39662980416543181</v>
      </c>
      <c r="S61" s="307">
        <f t="shared" ca="1" si="21"/>
        <v>7.6549650015789181</v>
      </c>
      <c r="T61" s="304">
        <f t="shared" ca="1" si="1"/>
        <v>75.095206665489187</v>
      </c>
      <c r="U61" s="311">
        <f t="shared" ca="1" si="2"/>
        <v>0</v>
      </c>
      <c r="V61" s="306">
        <f t="shared" ca="1" si="3"/>
        <v>1.223201004689461</v>
      </c>
      <c r="W61" s="304">
        <f t="shared" ca="1" si="4"/>
        <v>8.7145943046957637</v>
      </c>
      <c r="Y61" s="314" t="str">
        <f t="shared" ca="1" si="22"/>
        <v/>
      </c>
      <c r="Z61" s="315" t="str">
        <f t="shared" ca="1" si="23"/>
        <v/>
      </c>
      <c r="AA61" s="316" t="str">
        <f t="shared" ca="1" si="24"/>
        <v/>
      </c>
      <c r="AC61" s="310" t="e">
        <f t="shared" ca="1" si="25"/>
        <v>#N/A</v>
      </c>
      <c r="AD61" s="323" t="e">
        <f t="shared" ca="1" si="26"/>
        <v>#N/A</v>
      </c>
      <c r="AE61" s="324">
        <f t="shared" ca="1" si="5"/>
        <v>14.696467382320296</v>
      </c>
      <c r="AG61" s="306">
        <f t="shared" ca="1" si="27"/>
        <v>92.376982809053786</v>
      </c>
      <c r="AH61" s="304">
        <f t="shared" ca="1" si="28"/>
        <v>102.14478700017567</v>
      </c>
    </row>
    <row r="62" spans="1:34" x14ac:dyDescent="0.2">
      <c r="A62" s="347">
        <f t="shared" ca="1" si="6"/>
        <v>0.01</v>
      </c>
      <c r="B62" s="304">
        <f t="shared" ca="1" si="7"/>
        <v>0.58000000000000029</v>
      </c>
      <c r="D62" s="306">
        <f t="shared" ca="1" si="8"/>
        <v>9.4680868313002406</v>
      </c>
      <c r="E62" s="307">
        <f t="shared" ca="1" si="9"/>
        <v>91.753937853939121</v>
      </c>
      <c r="F62" s="304">
        <f t="shared" ca="1" si="10"/>
        <v>92.241150144333972</v>
      </c>
      <c r="G62" s="306">
        <f t="shared" ca="1" si="11"/>
        <v>5.0361973245405531</v>
      </c>
      <c r="H62" s="307">
        <f t="shared" ca="1" si="12"/>
        <v>53.925066580905607</v>
      </c>
      <c r="I62" s="304">
        <f t="shared" ca="1" si="13"/>
        <v>54.159727558831129</v>
      </c>
      <c r="J62" s="306">
        <f t="shared" ca="1" si="14"/>
        <v>1.3718729571761861</v>
      </c>
      <c r="K62" s="307">
        <f t="shared" ca="1" si="15"/>
        <v>15.231130351236656</v>
      </c>
      <c r="L62" s="304">
        <f t="shared" ca="1" si="0"/>
        <v>15.292788077619914</v>
      </c>
      <c r="M62" s="306">
        <f t="shared" ca="1" si="16"/>
        <v>1.4776739326827004</v>
      </c>
      <c r="N62" s="304">
        <f t="shared" ca="1" si="17"/>
        <v>84.66447983921725</v>
      </c>
      <c r="P62" s="310">
        <f t="shared" ca="1" si="18"/>
        <v>3</v>
      </c>
      <c r="Q62" s="304">
        <f t="shared" ca="1" si="19"/>
        <v>789.15</v>
      </c>
      <c r="R62" s="306">
        <f t="shared" ca="1" si="20"/>
        <v>0.39603761714366215</v>
      </c>
      <c r="S62" s="307">
        <f t="shared" ca="1" si="21"/>
        <v>7.6510046254074817</v>
      </c>
      <c r="T62" s="304">
        <f t="shared" ca="1" si="1"/>
        <v>75.056355375247406</v>
      </c>
      <c r="U62" s="311">
        <f t="shared" ca="1" si="2"/>
        <v>0</v>
      </c>
      <c r="V62" s="306">
        <f t="shared" ca="1" si="3"/>
        <v>1.2231356063730916</v>
      </c>
      <c r="W62" s="304">
        <f t="shared" ca="1" si="4"/>
        <v>9.0186985326169324</v>
      </c>
      <c r="Y62" s="314" t="str">
        <f t="shared" ca="1" si="22"/>
        <v/>
      </c>
      <c r="Z62" s="315" t="str">
        <f t="shared" ca="1" si="23"/>
        <v/>
      </c>
      <c r="AA62" s="316" t="str">
        <f t="shared" ca="1" si="24"/>
        <v/>
      </c>
      <c r="AC62" s="310" t="e">
        <f t="shared" ca="1" si="25"/>
        <v>#N/A</v>
      </c>
      <c r="AD62" s="323" t="e">
        <f t="shared" ca="1" si="26"/>
        <v>#N/A</v>
      </c>
      <c r="AE62" s="324">
        <f t="shared" ca="1" si="5"/>
        <v>15.231130351236656</v>
      </c>
      <c r="AG62" s="306">
        <f t="shared" ca="1" si="27"/>
        <v>92.236655644626921</v>
      </c>
      <c r="AH62" s="304">
        <f t="shared" ca="1" si="28"/>
        <v>102.00430452017135</v>
      </c>
    </row>
    <row r="63" spans="1:34" x14ac:dyDescent="0.2">
      <c r="A63" s="347">
        <f t="shared" ca="1" si="6"/>
        <v>0.01</v>
      </c>
      <c r="B63" s="304">
        <f t="shared" ca="1" si="7"/>
        <v>0.5900000000000003</v>
      </c>
      <c r="D63" s="306">
        <f t="shared" ca="1" si="8"/>
        <v>9.4720206167947882</v>
      </c>
      <c r="E63" s="307">
        <f t="shared" ca="1" si="9"/>
        <v>91.611630150873182</v>
      </c>
      <c r="F63" s="304">
        <f t="shared" ca="1" si="10"/>
        <v>92.099999747368955</v>
      </c>
      <c r="G63" s="306">
        <f t="shared" ca="1" si="11"/>
        <v>5.1309175307085013</v>
      </c>
      <c r="H63" s="307">
        <f t="shared" ca="1" si="12"/>
        <v>54.841182882414337</v>
      </c>
      <c r="I63" s="304">
        <f t="shared" ca="1" si="13"/>
        <v>55.080683135282072</v>
      </c>
      <c r="J63" s="306">
        <f t="shared" ca="1" si="14"/>
        <v>1.4227085314524313</v>
      </c>
      <c r="K63" s="307">
        <f t="shared" ca="1" si="15"/>
        <v>15.774961598553256</v>
      </c>
      <c r="L63" s="304">
        <f t="shared" ca="1" si="0"/>
        <v>15.838987120434735</v>
      </c>
      <c r="M63" s="306">
        <f t="shared" ca="1" si="16"/>
        <v>1.4775083190976928</v>
      </c>
      <c r="N63" s="304">
        <f t="shared" ca="1" si="17"/>
        <v>84.654990879766288</v>
      </c>
      <c r="P63" s="310">
        <f t="shared" ca="1" si="18"/>
        <v>3</v>
      </c>
      <c r="Q63" s="304">
        <f t="shared" ca="1" si="19"/>
        <v>787.96999999999991</v>
      </c>
      <c r="R63" s="306">
        <f t="shared" ca="1" si="20"/>
        <v>0.39544543012189248</v>
      </c>
      <c r="S63" s="307">
        <f t="shared" ca="1" si="21"/>
        <v>7.6470501711062626</v>
      </c>
      <c r="T63" s="304">
        <f t="shared" ca="1" si="1"/>
        <v>75.017562178552438</v>
      </c>
      <c r="U63" s="311">
        <f t="shared" ca="1" si="2"/>
        <v>0</v>
      </c>
      <c r="V63" s="306">
        <f t="shared" ca="1" si="3"/>
        <v>1.2230690902055703</v>
      </c>
      <c r="W63" s="304">
        <f t="shared" ca="1" si="4"/>
        <v>9.3275147723048981</v>
      </c>
      <c r="Y63" s="314" t="str">
        <f t="shared" ca="1" si="22"/>
        <v/>
      </c>
      <c r="Z63" s="315" t="str">
        <f t="shared" ca="1" si="23"/>
        <v/>
      </c>
      <c r="AA63" s="316" t="str">
        <f t="shared" ca="1" si="24"/>
        <v/>
      </c>
      <c r="AC63" s="310" t="e">
        <f t="shared" ca="1" si="25"/>
        <v>#N/A</v>
      </c>
      <c r="AD63" s="323" t="e">
        <f t="shared" ca="1" si="26"/>
        <v>#N/A</v>
      </c>
      <c r="AE63" s="324">
        <f t="shared" ca="1" si="5"/>
        <v>15.774961598553256</v>
      </c>
      <c r="AG63" s="306">
        <f t="shared" ca="1" si="27"/>
        <v>92.095482107832794</v>
      </c>
      <c r="AH63" s="304">
        <f t="shared" ca="1" si="28"/>
        <v>101.86297775455759</v>
      </c>
    </row>
    <row r="64" spans="1:34" x14ac:dyDescent="0.2">
      <c r="A64" s="347">
        <f t="shared" ca="1" si="6"/>
        <v>0.01</v>
      </c>
      <c r="B64" s="304">
        <f t="shared" ca="1" si="7"/>
        <v>0.60000000000000031</v>
      </c>
      <c r="D64" s="306">
        <f t="shared" ca="1" si="8"/>
        <v>9.4755739149221689</v>
      </c>
      <c r="E64" s="307">
        <f t="shared" ca="1" si="9"/>
        <v>91.468509910551091</v>
      </c>
      <c r="F64" s="304">
        <f t="shared" ca="1" si="10"/>
        <v>91.958005667118172</v>
      </c>
      <c r="G64" s="306">
        <f t="shared" ca="1" si="11"/>
        <v>5.2256732698577233</v>
      </c>
      <c r="H64" s="307">
        <f t="shared" ca="1" si="12"/>
        <v>55.755867981519849</v>
      </c>
      <c r="I64" s="304">
        <f t="shared" ca="1" si="13"/>
        <v>56.000218530787677</v>
      </c>
      <c r="J64" s="306">
        <f t="shared" ca="1" si="14"/>
        <v>1.4744914854552624</v>
      </c>
      <c r="K64" s="307">
        <f t="shared" ca="1" si="15"/>
        <v>16.327946852872927</v>
      </c>
      <c r="L64" s="304">
        <f t="shared" ca="1" si="0"/>
        <v>16.39438847810198</v>
      </c>
      <c r="M64" s="306">
        <f t="shared" ca="1" si="16"/>
        <v>1.4773451360635574</v>
      </c>
      <c r="N64" s="304">
        <f t="shared" ca="1" si="17"/>
        <v>84.645641180622192</v>
      </c>
      <c r="P64" s="310">
        <f t="shared" ca="1" si="18"/>
        <v>3</v>
      </c>
      <c r="Q64" s="304">
        <f t="shared" ca="1" si="19"/>
        <v>786.79</v>
      </c>
      <c r="R64" s="306">
        <f t="shared" ca="1" si="20"/>
        <v>0.39485324310012287</v>
      </c>
      <c r="S64" s="307">
        <f t="shared" ca="1" si="21"/>
        <v>7.6431016386752617</v>
      </c>
      <c r="T64" s="304">
        <f t="shared" ca="1" si="1"/>
        <v>74.978827075404325</v>
      </c>
      <c r="U64" s="311">
        <f t="shared" ca="1" si="2"/>
        <v>0</v>
      </c>
      <c r="V64" s="306">
        <f t="shared" ca="1" si="3"/>
        <v>1.2230014581148072</v>
      </c>
      <c r="W64" s="304">
        <f t="shared" ca="1" si="4"/>
        <v>9.6410145286286646</v>
      </c>
      <c r="Y64" s="314" t="str">
        <f t="shared" ca="1" si="22"/>
        <v/>
      </c>
      <c r="Z64" s="315" t="str">
        <f t="shared" ca="1" si="23"/>
        <v/>
      </c>
      <c r="AA64" s="316" t="str">
        <f t="shared" ca="1" si="24"/>
        <v/>
      </c>
      <c r="AC64" s="310" t="e">
        <f t="shared" ca="1" si="25"/>
        <v>#N/A</v>
      </c>
      <c r="AD64" s="323" t="e">
        <f t="shared" ca="1" si="26"/>
        <v>#N/A</v>
      </c>
      <c r="AE64" s="324">
        <f t="shared" ca="1" si="5"/>
        <v>16.327946852872927</v>
      </c>
      <c r="AG64" s="306">
        <f t="shared" ca="1" si="27"/>
        <v>91.953464989902244</v>
      </c>
      <c r="AH64" s="304">
        <f t="shared" ca="1" si="28"/>
        <v>101.72080942815364</v>
      </c>
    </row>
    <row r="65" spans="1:34" x14ac:dyDescent="0.2">
      <c r="A65" s="347">
        <f t="shared" ca="1" si="6"/>
        <v>0.01</v>
      </c>
      <c r="B65" s="304">
        <f t="shared" ca="1" si="7"/>
        <v>0.61000000000000032</v>
      </c>
      <c r="D65" s="306">
        <f t="shared" ca="1" si="8"/>
        <v>9.4787559798766878</v>
      </c>
      <c r="E65" s="307">
        <f t="shared" ca="1" si="9"/>
        <v>91.324579173074781</v>
      </c>
      <c r="F65" s="304">
        <f t="shared" ca="1" si="10"/>
        <v>91.815170729380299</v>
      </c>
      <c r="G65" s="306">
        <f t="shared" ca="1" si="11"/>
        <v>5.3204608296564899</v>
      </c>
      <c r="H65" s="307">
        <f t="shared" ca="1" si="12"/>
        <v>56.669113773250594</v>
      </c>
      <c r="I65" s="304">
        <f t="shared" ca="1" si="13"/>
        <v>56.918325338027373</v>
      </c>
      <c r="J65" s="306">
        <f t="shared" ca="1" si="14"/>
        <v>1.5272221559528334</v>
      </c>
      <c r="K65" s="307">
        <f t="shared" ca="1" si="15"/>
        <v>16.89007176164678</v>
      </c>
      <c r="L65" s="304">
        <f t="shared" ca="1" si="0"/>
        <v>16.958977906324755</v>
      </c>
      <c r="M65" s="306">
        <f t="shared" ca="1" si="16"/>
        <v>1.4771843051880194</v>
      </c>
      <c r="N65" s="304">
        <f t="shared" ca="1" si="17"/>
        <v>84.636426250238472</v>
      </c>
      <c r="P65" s="310">
        <f t="shared" ca="1" si="18"/>
        <v>3</v>
      </c>
      <c r="Q65" s="304">
        <f t="shared" ca="1" si="19"/>
        <v>785.61</v>
      </c>
      <c r="R65" s="306">
        <f t="shared" ca="1" si="20"/>
        <v>0.39426105607835321</v>
      </c>
      <c r="S65" s="307">
        <f t="shared" ca="1" si="21"/>
        <v>7.6391590281144781</v>
      </c>
      <c r="T65" s="304">
        <f t="shared" ca="1" si="1"/>
        <v>74.940150065803039</v>
      </c>
      <c r="U65" s="311">
        <f t="shared" ca="1" si="2"/>
        <v>0</v>
      </c>
      <c r="V65" s="306">
        <f t="shared" ca="1" si="3"/>
        <v>1.2229327120412972</v>
      </c>
      <c r="W65" s="304">
        <f t="shared" ca="1" si="4"/>
        <v>9.9591691447040152</v>
      </c>
      <c r="Y65" s="314" t="str">
        <f t="shared" ca="1" si="22"/>
        <v/>
      </c>
      <c r="Z65" s="315" t="str">
        <f t="shared" ca="1" si="23"/>
        <v/>
      </c>
      <c r="AA65" s="316" t="str">
        <f t="shared" ca="1" si="24"/>
        <v/>
      </c>
      <c r="AC65" s="310" t="e">
        <f t="shared" ca="1" si="25"/>
        <v>#N/A</v>
      </c>
      <c r="AD65" s="323" t="e">
        <f t="shared" ca="1" si="26"/>
        <v>#N/A</v>
      </c>
      <c r="AE65" s="324">
        <f t="shared" ca="1" si="5"/>
        <v>16.89007176164678</v>
      </c>
      <c r="AG65" s="306">
        <f t="shared" ca="1" si="27"/>
        <v>91.810607109876273</v>
      </c>
      <c r="AH65" s="304">
        <f t="shared" ca="1" si="28"/>
        <v>101.57780229676649</v>
      </c>
    </row>
    <row r="66" spans="1:34" x14ac:dyDescent="0.2">
      <c r="A66" s="347">
        <f t="shared" ca="1" si="6"/>
        <v>0.01</v>
      </c>
      <c r="B66" s="304">
        <f t="shared" ca="1" si="7"/>
        <v>0.62000000000000033</v>
      </c>
      <c r="D66" s="306">
        <f t="shared" ca="1" si="8"/>
        <v>9.4815756302297185</v>
      </c>
      <c r="E66" s="307">
        <f t="shared" ca="1" si="9"/>
        <v>91.179840042457158</v>
      </c>
      <c r="F66" s="304">
        <f t="shared" ca="1" si="10"/>
        <v>91.671497787479396</v>
      </c>
      <c r="G66" s="306">
        <f t="shared" ca="1" si="11"/>
        <v>5.4152765859587868</v>
      </c>
      <c r="H66" s="307">
        <f t="shared" ca="1" si="12"/>
        <v>57.580912173675166</v>
      </c>
      <c r="I66" s="304">
        <f t="shared" ca="1" si="13"/>
        <v>57.834995178135237</v>
      </c>
      <c r="J66" s="306">
        <f t="shared" ca="1" si="14"/>
        <v>1.5809008430309097</v>
      </c>
      <c r="K66" s="307">
        <f t="shared" ca="1" si="15"/>
        <v>17.461321891381409</v>
      </c>
      <c r="L66" s="304">
        <f t="shared" ca="1" si="0"/>
        <v>17.53274107690898</v>
      </c>
      <c r="M66" s="306">
        <f t="shared" ca="1" si="16"/>
        <v>1.4770257518309031</v>
      </c>
      <c r="N66" s="304">
        <f t="shared" ca="1" si="17"/>
        <v>84.627341812048073</v>
      </c>
      <c r="P66" s="310">
        <f t="shared" ca="1" si="18"/>
        <v>3</v>
      </c>
      <c r="Q66" s="304">
        <f t="shared" ca="1" si="19"/>
        <v>784.43</v>
      </c>
      <c r="R66" s="306">
        <f t="shared" ca="1" si="20"/>
        <v>0.39366886905658355</v>
      </c>
      <c r="S66" s="307">
        <f t="shared" ca="1" si="21"/>
        <v>7.6352223394239127</v>
      </c>
      <c r="T66" s="304">
        <f t="shared" ca="1" si="1"/>
        <v>74.901531149748592</v>
      </c>
      <c r="U66" s="311">
        <f t="shared" ca="1" si="2"/>
        <v>0</v>
      </c>
      <c r="V66" s="306">
        <f t="shared" ca="1" si="3"/>
        <v>1.2228628539380717</v>
      </c>
      <c r="W66" s="304">
        <f t="shared" ca="1" si="4"/>
        <v>10.281949803902084</v>
      </c>
      <c r="Y66" s="314" t="str">
        <f t="shared" ca="1" si="22"/>
        <v/>
      </c>
      <c r="Z66" s="315" t="str">
        <f t="shared" ca="1" si="23"/>
        <v/>
      </c>
      <c r="AA66" s="316" t="str">
        <f t="shared" ca="1" si="24"/>
        <v/>
      </c>
      <c r="AC66" s="310" t="e">
        <f t="shared" ca="1" si="25"/>
        <v>#N/A</v>
      </c>
      <c r="AD66" s="323" t="e">
        <f t="shared" ca="1" si="26"/>
        <v>#N/A</v>
      </c>
      <c r="AE66" s="324">
        <f t="shared" ca="1" si="5"/>
        <v>17.461321891381409</v>
      </c>
      <c r="AG66" s="306">
        <f t="shared" ca="1" si="27"/>
        <v>91.666911314606182</v>
      </c>
      <c r="AH66" s="304">
        <f t="shared" ca="1" si="28"/>
        <v>101.43395914698809</v>
      </c>
    </row>
    <row r="67" spans="1:34" x14ac:dyDescent="0.2">
      <c r="A67" s="347">
        <f t="shared" ca="1" si="6"/>
        <v>0.01</v>
      </c>
      <c r="B67" s="304">
        <f t="shared" ca="1" si="7"/>
        <v>0.63000000000000034</v>
      </c>
      <c r="D67" s="306">
        <f t="shared" ca="1" si="8"/>
        <v>9.4840412771582443</v>
      </c>
      <c r="E67" s="307">
        <f t="shared" ca="1" si="9"/>
        <v>91.034294684326099</v>
      </c>
      <c r="F67" s="304">
        <f t="shared" ca="1" si="10"/>
        <v>91.526989722264787</v>
      </c>
      <c r="G67" s="306">
        <f t="shared" ca="1" si="11"/>
        <v>5.5101169987303695</v>
      </c>
      <c r="H67" s="307">
        <f t="shared" ca="1" si="12"/>
        <v>58.491255120518424</v>
      </c>
      <c r="I67" s="304">
        <f t="shared" ca="1" si="13"/>
        <v>58.750219700978739</v>
      </c>
      <c r="J67" s="306">
        <f t="shared" ca="1" si="14"/>
        <v>1.6355278109543554</v>
      </c>
      <c r="K67" s="307">
        <f t="shared" ca="1" si="15"/>
        <v>18.041682727852379</v>
      </c>
      <c r="L67" s="304">
        <f t="shared" ca="1" si="0"/>
        <v>18.115663578044607</v>
      </c>
      <c r="M67" s="306">
        <f t="shared" ca="1" si="16"/>
        <v>1.476869404866467</v>
      </c>
      <c r="N67" s="304">
        <f t="shared" ca="1" si="17"/>
        <v>84.61838379084621</v>
      </c>
      <c r="P67" s="310">
        <f t="shared" ca="1" si="18"/>
        <v>3</v>
      </c>
      <c r="Q67" s="304">
        <f t="shared" ca="1" si="19"/>
        <v>783.25</v>
      </c>
      <c r="R67" s="306">
        <f t="shared" ca="1" si="20"/>
        <v>0.39307668203481394</v>
      </c>
      <c r="S67" s="307">
        <f t="shared" ca="1" si="21"/>
        <v>7.6312915726035646</v>
      </c>
      <c r="T67" s="304">
        <f t="shared" ca="1" si="1"/>
        <v>74.862970327240973</v>
      </c>
      <c r="U67" s="311">
        <f t="shared" ca="1" si="2"/>
        <v>0</v>
      </c>
      <c r="V67" s="306">
        <f t="shared" ca="1" si="3"/>
        <v>1.2227918857706557</v>
      </c>
      <c r="W67" s="304">
        <f t="shared" ca="1" si="4"/>
        <v>10.609327531869061</v>
      </c>
      <c r="Y67" s="314" t="str">
        <f t="shared" ca="1" si="22"/>
        <v/>
      </c>
      <c r="Z67" s="315" t="str">
        <f t="shared" ca="1" si="23"/>
        <v/>
      </c>
      <c r="AA67" s="316" t="str">
        <f t="shared" ca="1" si="24"/>
        <v/>
      </c>
      <c r="AC67" s="310" t="e">
        <f t="shared" ca="1" si="25"/>
        <v>#N/A</v>
      </c>
      <c r="AD67" s="323" t="e">
        <f t="shared" ca="1" si="26"/>
        <v>#N/A</v>
      </c>
      <c r="AE67" s="324">
        <f t="shared" ca="1" si="5"/>
        <v>18.041682727852379</v>
      </c>
      <c r="AG67" s="306">
        <f t="shared" ca="1" si="27"/>
        <v>91.522380478735158</v>
      </c>
      <c r="AH67" s="304">
        <f t="shared" ca="1" si="28"/>
        <v>101.28928279599003</v>
      </c>
    </row>
    <row r="68" spans="1:34" x14ac:dyDescent="0.2">
      <c r="A68" s="347">
        <f t="shared" ca="1" si="6"/>
        <v>0.01</v>
      </c>
      <c r="B68" s="304">
        <f t="shared" ca="1" si="7"/>
        <v>0.64000000000000035</v>
      </c>
      <c r="D68" s="306">
        <f t="shared" ca="1" si="8"/>
        <v>9.4861609504287898</v>
      </c>
      <c r="E68" s="307">
        <f t="shared" ca="1" si="9"/>
        <v>90.887945323788898</v>
      </c>
      <c r="F68" s="304">
        <f t="shared" ca="1" si="10"/>
        <v>91.381649442092467</v>
      </c>
      <c r="G68" s="306">
        <f t="shared" ca="1" si="11"/>
        <v>5.6049786082346573</v>
      </c>
      <c r="H68" s="307">
        <f t="shared" ca="1" si="12"/>
        <v>59.400134573756311</v>
      </c>
      <c r="I68" s="304">
        <f t="shared" ca="1" si="13"/>
        <v>59.663990585437105</v>
      </c>
      <c r="J68" s="306">
        <f t="shared" ca="1" si="14"/>
        <v>1.6911032889891806</v>
      </c>
      <c r="K68" s="307">
        <f t="shared" ca="1" si="15"/>
        <v>18.631139676323752</v>
      </c>
      <c r="L68" s="304">
        <f t="shared" ref="L68:L131" ca="1" si="29">SQRT(pos_x^2+pos_z^2)</f>
        <v>18.707730914590233</v>
      </c>
      <c r="M68" s="306">
        <f t="shared" ca="1" si="16"/>
        <v>1.4767151964643481</v>
      </c>
      <c r="N68" s="304">
        <f t="shared" ca="1" si="17"/>
        <v>84.609548300239339</v>
      </c>
      <c r="P68" s="310">
        <f t="shared" ca="1" si="18"/>
        <v>3</v>
      </c>
      <c r="Q68" s="304">
        <f t="shared" ca="1" si="19"/>
        <v>782.06999999999994</v>
      </c>
      <c r="R68" s="306">
        <f t="shared" ca="1" si="20"/>
        <v>0.39248449501304422</v>
      </c>
      <c r="S68" s="307">
        <f t="shared" ca="1" si="21"/>
        <v>7.6273667276534338</v>
      </c>
      <c r="T68" s="304">
        <f t="shared" ref="T68:T131" ca="1" si="30">m*g</f>
        <v>74.824467598280194</v>
      </c>
      <c r="U68" s="311">
        <f t="shared" ref="U68:U131" ca="1" si="31">IF(pos_xz&lt;L_rampe,Poids*COS(Beta),0)</f>
        <v>0</v>
      </c>
      <c r="V68" s="306">
        <f t="shared" ref="V68:V131" ca="1" si="32">Rho_moyen*(20000-Alt_rampe-pos_z)/(20000+Alt_rampe+pos_z)</f>
        <v>1.2227198095170193</v>
      </c>
      <c r="W68" s="304">
        <f t="shared" ref="W68:W131" ca="1" si="33">1/2*Rho*Sref*Cx*vit_xz^2</f>
        <v>10.941273198556798</v>
      </c>
      <c r="Y68" s="314" t="str">
        <f t="shared" ca="1" si="22"/>
        <v/>
      </c>
      <c r="Z68" s="315" t="str">
        <f t="shared" ca="1" si="23"/>
        <v/>
      </c>
      <c r="AA68" s="316" t="str">
        <f t="shared" ca="1" si="24"/>
        <v/>
      </c>
      <c r="AC68" s="310" t="e">
        <f t="shared" ca="1" si="25"/>
        <v>#N/A</v>
      </c>
      <c r="AD68" s="323" t="e">
        <f t="shared" ca="1" si="26"/>
        <v>#N/A</v>
      </c>
      <c r="AE68" s="324">
        <f t="shared" ref="AE68:AE131" ca="1" si="34">IF(t&lt;T_para, pos_z, NA())</f>
        <v>18.631139676323752</v>
      </c>
      <c r="AG68" s="306">
        <f t="shared" ca="1" si="27"/>
        <v>91.377017504662746</v>
      </c>
      <c r="AH68" s="304">
        <f t="shared" ca="1" si="28"/>
        <v>101.14377609131577</v>
      </c>
    </row>
    <row r="69" spans="1:34" x14ac:dyDescent="0.2">
      <c r="A69" s="347">
        <f t="shared" ref="A69:A132" ca="1" si="35">IF(B68+0.01&lt;=T_ini+ROUNDUP(Temps_fin_propu,0), 0.01, IF(K68&gt;0, 0.1, 0.0001))</f>
        <v>0.01</v>
      </c>
      <c r="B69" s="304">
        <f t="shared" ref="B69:B132" ca="1" si="36">B68+pas</f>
        <v>0.65000000000000036</v>
      </c>
      <c r="D69" s="306">
        <f t="shared" ref="D69:D132" ca="1" si="37">IF(AND(L68&lt;L_rampe,Poussee&lt;Poids*SIN(M68)),0,(-W68+Poussee)/m*COS(M68)-U68/m*SIN(M68))</f>
        <v>9.4879423223478199</v>
      </c>
      <c r="E69" s="307">
        <f t="shared" ref="E69:E132" ca="1" si="38">IF(AND(L68&lt;L_rampe,Poussee&lt;Poids*SIN(M68)),0,(-W68+Poussee)/m*SIN(M68)+U68/m*COS(M68)-Poids/m)</f>
        <v>90.740794243442323</v>
      </c>
      <c r="F69" s="304">
        <f t="shared" ref="F69:F132" ca="1" si="39">SQRT(acc_x^2+acc_z^2)</f>
        <v>91.235479882789761</v>
      </c>
      <c r="G69" s="306">
        <f t="shared" ref="G69:G132" ca="1" si="40">G68+acc_x*pas</f>
        <v>5.6998580314581355</v>
      </c>
      <c r="H69" s="307">
        <f t="shared" ref="H69:H132" ca="1" si="41">H68+acc_z*pas</f>
        <v>60.307542516190736</v>
      </c>
      <c r="I69" s="304">
        <f t="shared" ref="I69:I132" ca="1" si="42">SQRT(vit_x^2+vit_z^2)</f>
        <v>60.576299539679141</v>
      </c>
      <c r="J69" s="306">
        <f t="shared" ref="J69:J132" ca="1" si="43">J68+0.5*(vit_x+G68)*pas*(K68&gt;=0)</f>
        <v>1.7476274721876446</v>
      </c>
      <c r="K69" s="307">
        <f t="shared" ref="K69:K132" ca="1" si="44">K68+0.5*(vit_z+H68)*pas</f>
        <v>19.229678061773487</v>
      </c>
      <c r="L69" s="304">
        <f t="shared" ca="1" si="29"/>
        <v>19.308928508361035</v>
      </c>
      <c r="M69" s="306">
        <f t="shared" ref="M69:M132" ca="1" si="45">IF(AND(L68&gt;L_rampe,G69&gt;0),ATAN2(G69,H69),$M$4)</f>
        <v>1.4765630618873893</v>
      </c>
      <c r="N69" s="304">
        <f t="shared" ref="N69:N132" ca="1" si="46">DEGREES(Beta)</f>
        <v>84.600831631061581</v>
      </c>
      <c r="P69" s="310">
        <f t="shared" ref="P69:P132" ca="1" si="47">MATCH(t-pas/2-T_ini,CdP_t)</f>
        <v>3</v>
      </c>
      <c r="Q69" s="304">
        <f t="shared" ref="Q69:Q132" ca="1" si="48">(INDEX(CdP,2,i_P+1)-INDEX(CdP,2,i_P+0))/(INDEX(CdP,1,i_P+1)-INDEX(CdP,1,i_P+0))*(t-pas/2-T_ini-INDEX(CdP,1,i_P+0))+INDEX(CdP,2,i_P+0)</f>
        <v>780.89</v>
      </c>
      <c r="R69" s="306">
        <f t="shared" ref="R69:R132" ca="1" si="49">Poussee/(g*ISP)</f>
        <v>0.39189230799127461</v>
      </c>
      <c r="S69" s="307">
        <f t="shared" ref="S69:S132" ca="1" si="50">S68-Débit*pas</f>
        <v>7.6234478045735212</v>
      </c>
      <c r="T69" s="304">
        <f t="shared" ca="1" si="30"/>
        <v>74.786022962866241</v>
      </c>
      <c r="U69" s="311">
        <f t="shared" ca="1" si="31"/>
        <v>0</v>
      </c>
      <c r="V69" s="306">
        <f t="shared" ca="1" si="32"/>
        <v>1.2226466271675294</v>
      </c>
      <c r="W69" s="304">
        <f t="shared" ca="1" si="33"/>
        <v>11.277757520264064</v>
      </c>
      <c r="Y69" s="314" t="str">
        <f t="shared" ref="Y69:Y132" ca="1" si="51">IF(AND(pos_z&lt;=0,K68&gt;0),"Impact balistique","") &amp; IF(AND(H70&lt;0,vit_z&gt;=0),"Apogée","") &amp; IF(AND(Poussee=0,Q68&gt;0),"Fin de propulsion","") &amp; IF(AND(L70&gt;L_rampe,pos_xz&lt;=L_rampe),"Sortie de rampe","")</f>
        <v/>
      </c>
      <c r="Z69" s="315" t="str">
        <f t="shared" ref="Z69:Z132" ca="1" si="52">IF(ABS(t-T_para)&lt;pas/2,"Para","")</f>
        <v/>
      </c>
      <c r="AA69" s="316" t="str">
        <f t="shared" ref="AA69:AA132" ca="1" si="53">IF(ABS(t-T_satellite)&lt;pas/2,"Satellite","")</f>
        <v/>
      </c>
      <c r="AC69" s="310" t="e">
        <f t="shared" ref="AC69:AC132" ca="1" si="54">IF(ABS(t-ROUND(t,0))&lt;0.001,t,NA())</f>
        <v>#N/A</v>
      </c>
      <c r="AD69" s="323" t="e">
        <f t="shared" ref="AD69:AD132" ca="1" si="55">IF(ABS(t-ROUND(t,0))&lt;0.001,pos_x,NA())</f>
        <v>#N/A</v>
      </c>
      <c r="AE69" s="324">
        <f t="shared" ca="1" si="34"/>
        <v>19.229678061773487</v>
      </c>
      <c r="AG69" s="306">
        <f t="shared" ref="AG69:AG132" ca="1" si="56">IF(AND(L68&lt;L_rampe,Poussee&lt;Poids*SIN(M68)),0,(-W68+Poussee)/m-Poids*SIN(M68)/m)</f>
        <v>91.230825322493843</v>
      </c>
      <c r="AH69" s="304">
        <f t="shared" ref="AH69:AH132" ca="1" si="57">IF(AND(L68&lt;L_rampe,Poussee&lt;Poids*SIN(M68)), g*SIN(M68), (-W68+Poussee)/m)</f>
        <v>100.99744191067056</v>
      </c>
    </row>
    <row r="70" spans="1:34" x14ac:dyDescent="0.2">
      <c r="A70" s="347">
        <f t="shared" ca="1" si="35"/>
        <v>0.01</v>
      </c>
      <c r="B70" s="304">
        <f t="shared" ca="1" si="36"/>
        <v>0.66000000000000036</v>
      </c>
      <c r="D70" s="306">
        <f t="shared" ca="1" si="37"/>
        <v>9.4893927298672569</v>
      </c>
      <c r="E70" s="307">
        <f t="shared" ca="1" si="38"/>
        <v>90.592843781514262</v>
      </c>
      <c r="F70" s="304">
        <f t="shared" ca="1" si="39"/>
        <v>91.088484007603867</v>
      </c>
      <c r="G70" s="306">
        <f t="shared" ca="1" si="40"/>
        <v>5.7947519587568079</v>
      </c>
      <c r="H70" s="307">
        <f t="shared" ca="1" si="41"/>
        <v>61.213470954005878</v>
      </c>
      <c r="I70" s="304">
        <f t="shared" ca="1" si="42"/>
        <v>61.487138301440218</v>
      </c>
      <c r="J70" s="306">
        <f t="shared" ca="1" si="43"/>
        <v>1.8051005221387193</v>
      </c>
      <c r="K70" s="307">
        <f t="shared" ca="1" si="44"/>
        <v>19.837283129124472</v>
      </c>
      <c r="L70" s="304">
        <f t="shared" ca="1" si="29"/>
        <v>19.919241698419945</v>
      </c>
      <c r="M70" s="306">
        <f t="shared" ca="1" si="45"/>
        <v>1.4764129393048064</v>
      </c>
      <c r="N70" s="304">
        <f t="shared" ca="1" si="46"/>
        <v>84.592230240669977</v>
      </c>
      <c r="P70" s="310">
        <f t="shared" ca="1" si="47"/>
        <v>3</v>
      </c>
      <c r="Q70" s="304">
        <f t="shared" ca="1" si="48"/>
        <v>779.70999999999992</v>
      </c>
      <c r="R70" s="306">
        <f t="shared" ca="1" si="49"/>
        <v>0.39130012096950489</v>
      </c>
      <c r="S70" s="307">
        <f t="shared" ca="1" si="50"/>
        <v>7.6195348033638259</v>
      </c>
      <c r="T70" s="304">
        <f t="shared" ca="1" si="30"/>
        <v>74.747636420999143</v>
      </c>
      <c r="U70" s="311">
        <f t="shared" ca="1" si="31"/>
        <v>0</v>
      </c>
      <c r="V70" s="306">
        <f t="shared" ca="1" si="32"/>
        <v>1.2225723407249016</v>
      </c>
      <c r="W70" s="304">
        <f t="shared" ca="1" si="33"/>
        <v>11.618751061688208</v>
      </c>
      <c r="Y70" s="314" t="str">
        <f t="shared" ca="1" si="51"/>
        <v/>
      </c>
      <c r="Z70" s="315" t="str">
        <f t="shared" ca="1" si="52"/>
        <v/>
      </c>
      <c r="AA70" s="316" t="str">
        <f t="shared" ca="1" si="53"/>
        <v/>
      </c>
      <c r="AC70" s="310" t="e">
        <f t="shared" ca="1" si="54"/>
        <v>#N/A</v>
      </c>
      <c r="AD70" s="323" t="e">
        <f t="shared" ca="1" si="55"/>
        <v>#N/A</v>
      </c>
      <c r="AE70" s="324">
        <f t="shared" ca="1" si="34"/>
        <v>19.837283129124472</v>
      </c>
      <c r="AG70" s="306">
        <f t="shared" ca="1" si="56"/>
        <v>91.083806889972934</v>
      </c>
      <c r="AH70" s="304">
        <f t="shared" ca="1" si="57"/>
        <v>100.85028316170865</v>
      </c>
    </row>
    <row r="71" spans="1:34" x14ac:dyDescent="0.2">
      <c r="A71" s="347">
        <f t="shared" ca="1" si="35"/>
        <v>0.01</v>
      </c>
      <c r="B71" s="304">
        <f t="shared" ca="1" si="36"/>
        <v>0.67000000000000037</v>
      </c>
      <c r="D71" s="306">
        <f t="shared" ca="1" si="37"/>
        <v>9.4905191950134409</v>
      </c>
      <c r="E71" s="307">
        <f t="shared" ca="1" si="38"/>
        <v>90.444096330125817</v>
      </c>
      <c r="F71" s="304">
        <f t="shared" ca="1" si="39"/>
        <v>90.940664807136727</v>
      </c>
      <c r="G71" s="306">
        <f t="shared" ca="1" si="40"/>
        <v>5.8896571507069426</v>
      </c>
      <c r="H71" s="307">
        <f t="shared" ca="1" si="41"/>
        <v>62.117911917307133</v>
      </c>
      <c r="I71" s="304">
        <f t="shared" ca="1" si="42"/>
        <v>62.396498638298617</v>
      </c>
      <c r="J71" s="306">
        <f t="shared" ca="1" si="43"/>
        <v>1.8635225676860381</v>
      </c>
      <c r="K71" s="307">
        <f t="shared" ca="1" si="44"/>
        <v>20.453940043481037</v>
      </c>
      <c r="L71" s="304">
        <f t="shared" ca="1" si="29"/>
        <v>20.538655741371979</v>
      </c>
      <c r="M71" s="306">
        <f t="shared" ca="1" si="45"/>
        <v>1.4762647696193161</v>
      </c>
      <c r="N71" s="304">
        <f t="shared" ca="1" si="46"/>
        <v>84.583740743039598</v>
      </c>
      <c r="P71" s="310">
        <f t="shared" ca="1" si="47"/>
        <v>3</v>
      </c>
      <c r="Q71" s="304">
        <f t="shared" ca="1" si="48"/>
        <v>778.53</v>
      </c>
      <c r="R71" s="306">
        <f t="shared" ca="1" si="49"/>
        <v>0.39070793394773529</v>
      </c>
      <c r="S71" s="307">
        <f t="shared" ca="1" si="50"/>
        <v>7.6156277240243488</v>
      </c>
      <c r="T71" s="304">
        <f t="shared" ca="1" si="30"/>
        <v>74.709307972678872</v>
      </c>
      <c r="U71" s="311">
        <f t="shared" ca="1" si="31"/>
        <v>0</v>
      </c>
      <c r="V71" s="306">
        <f t="shared" ca="1" si="32"/>
        <v>1.2224969522041509</v>
      </c>
      <c r="W71" s="304">
        <f t="shared" ca="1" si="33"/>
        <v>11.964224237987045</v>
      </c>
      <c r="Y71" s="314" t="str">
        <f t="shared" ca="1" si="51"/>
        <v/>
      </c>
      <c r="Z71" s="315" t="str">
        <f t="shared" ca="1" si="52"/>
        <v/>
      </c>
      <c r="AA71" s="316" t="str">
        <f t="shared" ca="1" si="53"/>
        <v/>
      </c>
      <c r="AC71" s="310" t="e">
        <f t="shared" ca="1" si="54"/>
        <v>#N/A</v>
      </c>
      <c r="AD71" s="323" t="e">
        <f t="shared" ca="1" si="55"/>
        <v>#N/A</v>
      </c>
      <c r="AE71" s="324">
        <f t="shared" ca="1" si="34"/>
        <v>20.453940043481037</v>
      </c>
      <c r="AG71" s="306">
        <f t="shared" ca="1" si="56"/>
        <v>90.935965192405476</v>
      </c>
      <c r="AH71" s="304">
        <f t="shared" ca="1" si="57"/>
        <v>100.70230278181857</v>
      </c>
    </row>
    <row r="72" spans="1:34" x14ac:dyDescent="0.2">
      <c r="A72" s="347">
        <f t="shared" ca="1" si="35"/>
        <v>0.01</v>
      </c>
      <c r="B72" s="304">
        <f t="shared" ca="1" si="36"/>
        <v>0.68000000000000038</v>
      </c>
      <c r="D72" s="306">
        <f t="shared" ca="1" si="37"/>
        <v>9.4913284437900955</v>
      </c>
      <c r="E72" s="307">
        <f t="shared" ca="1" si="38"/>
        <v>90.294554333662077</v>
      </c>
      <c r="F72" s="304">
        <f t="shared" ca="1" si="39"/>
        <v>90.792025299265958</v>
      </c>
      <c r="G72" s="306">
        <f t="shared" ca="1" si="40"/>
        <v>5.9845704351448434</v>
      </c>
      <c r="H72" s="307">
        <f t="shared" ca="1" si="41"/>
        <v>63.020857460643754</v>
      </c>
      <c r="I72" s="304">
        <f t="shared" ca="1" si="42"/>
        <v>63.304372347950711</v>
      </c>
      <c r="J72" s="306">
        <f t="shared" ca="1" si="43"/>
        <v>1.922893705615297</v>
      </c>
      <c r="K72" s="307">
        <f t="shared" ca="1" si="44"/>
        <v>21.07963389037079</v>
      </c>
      <c r="L72" s="304">
        <f t="shared" ca="1" si="29"/>
        <v>21.167155811661701</v>
      </c>
      <c r="M72" s="306">
        <f t="shared" ca="1" si="45"/>
        <v>1.4761184963069867</v>
      </c>
      <c r="N72" s="304">
        <f t="shared" ca="1" si="46"/>
        <v>84.575359899587724</v>
      </c>
      <c r="P72" s="310">
        <f t="shared" ca="1" si="47"/>
        <v>3</v>
      </c>
      <c r="Q72" s="304">
        <f t="shared" ca="1" si="48"/>
        <v>777.34999999999991</v>
      </c>
      <c r="R72" s="306">
        <f t="shared" ca="1" si="49"/>
        <v>0.39011574692596562</v>
      </c>
      <c r="S72" s="307">
        <f t="shared" ca="1" si="50"/>
        <v>7.6117265665550891</v>
      </c>
      <c r="T72" s="304">
        <f t="shared" ca="1" si="30"/>
        <v>74.671037617905426</v>
      </c>
      <c r="U72" s="311">
        <f t="shared" ca="1" si="31"/>
        <v>0</v>
      </c>
      <c r="V72" s="306">
        <f t="shared" ca="1" si="32"/>
        <v>1.2224204636325413</v>
      </c>
      <c r="W72" s="304">
        <f t="shared" ca="1" si="33"/>
        <v>12.314147316850635</v>
      </c>
      <c r="Y72" s="314" t="str">
        <f t="shared" ca="1" si="51"/>
        <v/>
      </c>
      <c r="Z72" s="315" t="str">
        <f t="shared" ca="1" si="52"/>
        <v/>
      </c>
      <c r="AA72" s="316" t="str">
        <f t="shared" ca="1" si="53"/>
        <v/>
      </c>
      <c r="AC72" s="310" t="e">
        <f t="shared" ca="1" si="54"/>
        <v>#N/A</v>
      </c>
      <c r="AD72" s="323" t="e">
        <f t="shared" ca="1" si="55"/>
        <v>#N/A</v>
      </c>
      <c r="AE72" s="324">
        <f t="shared" ca="1" si="34"/>
        <v>21.07963389037079</v>
      </c>
      <c r="AG72" s="306">
        <f t="shared" ca="1" si="56"/>
        <v>90.787303242566452</v>
      </c>
      <c r="AH72" s="304">
        <f t="shared" ca="1" si="57"/>
        <v>100.55350373790564</v>
      </c>
    </row>
    <row r="73" spans="1:34" x14ac:dyDescent="0.2">
      <c r="A73" s="347">
        <f t="shared" ca="1" si="35"/>
        <v>0.01</v>
      </c>
      <c r="B73" s="304">
        <f t="shared" ca="1" si="36"/>
        <v>0.69000000000000039</v>
      </c>
      <c r="D73" s="306">
        <f t="shared" ca="1" si="37"/>
        <v>9.4918269236903186</v>
      </c>
      <c r="E73" s="307">
        <f t="shared" ca="1" si="38"/>
        <v>90.144220287242874</v>
      </c>
      <c r="F73" s="304">
        <f t="shared" ca="1" si="39"/>
        <v>90.64256852905406</v>
      </c>
      <c r="G73" s="306">
        <f t="shared" ca="1" si="40"/>
        <v>6.0794887043817463</v>
      </c>
      <c r="H73" s="307">
        <f t="shared" ca="1" si="41"/>
        <v>63.922299663516185</v>
      </c>
      <c r="I73" s="304">
        <f t="shared" ca="1" si="42"/>
        <v>64.21075125848526</v>
      </c>
      <c r="J73" s="306">
        <f t="shared" ca="1" si="43"/>
        <v>1.98321400131293</v>
      </c>
      <c r="K73" s="307">
        <f t="shared" ca="1" si="44"/>
        <v>21.714349675991588</v>
      </c>
      <c r="L73" s="304">
        <f t="shared" ca="1" si="29"/>
        <v>21.80472700187369</v>
      </c>
      <c r="M73" s="306">
        <f t="shared" ca="1" si="45"/>
        <v>1.4759740652687012</v>
      </c>
      <c r="N73" s="304">
        <f t="shared" ca="1" si="46"/>
        <v>84.567084610663287</v>
      </c>
      <c r="P73" s="310">
        <f t="shared" ca="1" si="47"/>
        <v>3</v>
      </c>
      <c r="Q73" s="304">
        <f t="shared" ca="1" si="48"/>
        <v>776.17</v>
      </c>
      <c r="R73" s="306">
        <f t="shared" ca="1" si="49"/>
        <v>0.38952355990419596</v>
      </c>
      <c r="S73" s="307">
        <f t="shared" ca="1" si="50"/>
        <v>7.6078313309560475</v>
      </c>
      <c r="T73" s="304">
        <f t="shared" ca="1" si="30"/>
        <v>74.632825356678836</v>
      </c>
      <c r="U73" s="311">
        <f t="shared" ca="1" si="31"/>
        <v>0</v>
      </c>
      <c r="V73" s="306">
        <f t="shared" ca="1" si="32"/>
        <v>1.2223428770495348</v>
      </c>
      <c r="W73" s="304">
        <f t="shared" ca="1" si="33"/>
        <v>12.668490420582799</v>
      </c>
      <c r="Y73" s="314" t="str">
        <f t="shared" ca="1" si="51"/>
        <v/>
      </c>
      <c r="Z73" s="315" t="str">
        <f t="shared" ca="1" si="52"/>
        <v/>
      </c>
      <c r="AA73" s="316" t="str">
        <f t="shared" ca="1" si="53"/>
        <v/>
      </c>
      <c r="AC73" s="310" t="e">
        <f t="shared" ca="1" si="54"/>
        <v>#N/A</v>
      </c>
      <c r="AD73" s="323" t="e">
        <f t="shared" ca="1" si="55"/>
        <v>#N/A</v>
      </c>
      <c r="AE73" s="324">
        <f t="shared" ca="1" si="34"/>
        <v>21.714349675991588</v>
      </c>
      <c r="AG73" s="306">
        <f t="shared" ca="1" si="56"/>
        <v>90.637824080598051</v>
      </c>
      <c r="AH73" s="304">
        <f t="shared" ca="1" si="57"/>
        <v>100.40388902617252</v>
      </c>
    </row>
    <row r="74" spans="1:34" x14ac:dyDescent="0.2">
      <c r="A74" s="347">
        <f t="shared" ca="1" si="35"/>
        <v>0.01</v>
      </c>
      <c r="B74" s="304">
        <f t="shared" ca="1" si="36"/>
        <v>0.7000000000000004</v>
      </c>
      <c r="D74" s="306">
        <f t="shared" ca="1" si="37"/>
        <v>9.492020819939011</v>
      </c>
      <c r="E74" s="307">
        <f t="shared" ca="1" si="38"/>
        <v>89.993096735283629</v>
      </c>
      <c r="F74" s="304">
        <f t="shared" ca="1" si="39"/>
        <v>90.492297568645441</v>
      </c>
      <c r="G74" s="306">
        <f t="shared" ca="1" si="40"/>
        <v>6.1744089125811366</v>
      </c>
      <c r="H74" s="307">
        <f t="shared" ca="1" si="41"/>
        <v>64.822230630869015</v>
      </c>
      <c r="I74" s="304">
        <f t="shared" ca="1" si="42"/>
        <v>65.115627228656365</v>
      </c>
      <c r="J74" s="306">
        <f t="shared" ca="1" si="43"/>
        <v>2.0444834893977446</v>
      </c>
      <c r="K74" s="307">
        <f t="shared" ca="1" si="44"/>
        <v>22.358072327463514</v>
      </c>
      <c r="L74" s="304">
        <f t="shared" ca="1" si="29"/>
        <v>22.451354323036053</v>
      </c>
      <c r="M74" s="306">
        <f t="shared" ca="1" si="45"/>
        <v>1.4758314246922357</v>
      </c>
      <c r="N74" s="304">
        <f t="shared" ca="1" si="46"/>
        <v>84.5589119076445</v>
      </c>
      <c r="P74" s="310">
        <f t="shared" ca="1" si="47"/>
        <v>3</v>
      </c>
      <c r="Q74" s="304">
        <f t="shared" ca="1" si="48"/>
        <v>774.99</v>
      </c>
      <c r="R74" s="306">
        <f t="shared" ca="1" si="49"/>
        <v>0.38893137288242635</v>
      </c>
      <c r="S74" s="307">
        <f t="shared" ca="1" si="50"/>
        <v>7.6039420172272232</v>
      </c>
      <c r="T74" s="304">
        <f t="shared" ca="1" si="30"/>
        <v>74.594671188999058</v>
      </c>
      <c r="U74" s="311">
        <f t="shared" ca="1" si="31"/>
        <v>0</v>
      </c>
      <c r="V74" s="306">
        <f t="shared" ca="1" si="32"/>
        <v>1.2222641945067403</v>
      </c>
      <c r="W74" s="304">
        <f t="shared" ca="1" si="33"/>
        <v>13.027223528192039</v>
      </c>
      <c r="Y74" s="314" t="str">
        <f t="shared" ca="1" si="51"/>
        <v/>
      </c>
      <c r="Z74" s="315" t="str">
        <f t="shared" ca="1" si="52"/>
        <v/>
      </c>
      <c r="AA74" s="316" t="str">
        <f t="shared" ca="1" si="53"/>
        <v/>
      </c>
      <c r="AC74" s="310" t="e">
        <f t="shared" ca="1" si="54"/>
        <v>#N/A</v>
      </c>
      <c r="AD74" s="323" t="e">
        <f t="shared" ca="1" si="55"/>
        <v>#N/A</v>
      </c>
      <c r="AE74" s="324">
        <f t="shared" ca="1" si="34"/>
        <v>22.358072327463514</v>
      </c>
      <c r="AG74" s="306">
        <f t="shared" ca="1" si="56"/>
        <v>90.487530773896154</v>
      </c>
      <c r="AH74" s="304">
        <f t="shared" ca="1" si="57"/>
        <v>100.25346167189709</v>
      </c>
    </row>
    <row r="75" spans="1:34" x14ac:dyDescent="0.2">
      <c r="A75" s="347">
        <f t="shared" ca="1" si="35"/>
        <v>0.01</v>
      </c>
      <c r="B75" s="304">
        <f t="shared" ca="1" si="36"/>
        <v>0.71000000000000041</v>
      </c>
      <c r="D75" s="306">
        <f t="shared" ca="1" si="37"/>
        <v>9.4919160705745291</v>
      </c>
      <c r="E75" s="307">
        <f t="shared" ca="1" si="38"/>
        <v>89.841186270139858</v>
      </c>
      <c r="F75" s="304">
        <f t="shared" ca="1" si="39"/>
        <v>90.341215517153614</v>
      </c>
      <c r="G75" s="306">
        <f t="shared" ca="1" si="40"/>
        <v>6.2693280732868821</v>
      </c>
      <c r="H75" s="307">
        <f t="shared" ca="1" si="41"/>
        <v>65.720642493570409</v>
      </c>
      <c r="I75" s="304">
        <f t="shared" ca="1" si="42"/>
        <v>66.018992148155334</v>
      </c>
      <c r="J75" s="306">
        <f t="shared" ca="1" si="43"/>
        <v>2.1067021743270846</v>
      </c>
      <c r="K75" s="307">
        <f t="shared" ca="1" si="44"/>
        <v>23.010786693085713</v>
      </c>
      <c r="L75" s="304">
        <f t="shared" ca="1" si="29"/>
        <v>23.107022704926852</v>
      </c>
      <c r="M75" s="306">
        <f t="shared" ca="1" si="45"/>
        <v>1.4756905249240475</v>
      </c>
      <c r="N75" s="304">
        <f t="shared" ca="1" si="46"/>
        <v>84.550838945592943</v>
      </c>
      <c r="P75" s="310">
        <f t="shared" ca="1" si="47"/>
        <v>3</v>
      </c>
      <c r="Q75" s="304">
        <f t="shared" ca="1" si="48"/>
        <v>773.81</v>
      </c>
      <c r="R75" s="306">
        <f t="shared" ca="1" si="49"/>
        <v>0.38833918586065669</v>
      </c>
      <c r="S75" s="307">
        <f t="shared" ca="1" si="50"/>
        <v>7.6000586253686162</v>
      </c>
      <c r="T75" s="304">
        <f t="shared" ca="1" si="30"/>
        <v>74.556575114866135</v>
      </c>
      <c r="U75" s="311">
        <f t="shared" ca="1" si="31"/>
        <v>0</v>
      </c>
      <c r="V75" s="306">
        <f t="shared" ca="1" si="32"/>
        <v>1.22218441806786</v>
      </c>
      <c r="W75" s="304">
        <f t="shared" ca="1" si="33"/>
        <v>13.390316477491689</v>
      </c>
      <c r="Y75" s="314" t="str">
        <f t="shared" ca="1" si="51"/>
        <v/>
      </c>
      <c r="Z75" s="315" t="str">
        <f t="shared" ca="1" si="52"/>
        <v/>
      </c>
      <c r="AA75" s="316" t="str">
        <f t="shared" ca="1" si="53"/>
        <v/>
      </c>
      <c r="AC75" s="310" t="e">
        <f t="shared" ca="1" si="54"/>
        <v>#N/A</v>
      </c>
      <c r="AD75" s="323" t="e">
        <f t="shared" ca="1" si="55"/>
        <v>#N/A</v>
      </c>
      <c r="AE75" s="324">
        <f t="shared" ca="1" si="34"/>
        <v>23.010786693085713</v>
      </c>
      <c r="AG75" s="306">
        <f t="shared" ca="1" si="56"/>
        <v>90.336426416987393</v>
      </c>
      <c r="AH75" s="304">
        <f t="shared" ca="1" si="57"/>
        <v>100.1022247292084</v>
      </c>
    </row>
    <row r="76" spans="1:34" x14ac:dyDescent="0.2">
      <c r="A76" s="347">
        <f t="shared" ca="1" si="35"/>
        <v>0.01</v>
      </c>
      <c r="B76" s="304">
        <f t="shared" ca="1" si="36"/>
        <v>0.72000000000000042</v>
      </c>
      <c r="D76" s="306">
        <f t="shared" ca="1" si="37"/>
        <v>9.4915183804683192</v>
      </c>
      <c r="E76" s="307">
        <f t="shared" ca="1" si="38"/>
        <v>89.688491530827051</v>
      </c>
      <c r="F76" s="304">
        <f t="shared" ca="1" si="39"/>
        <v>90.189325500538061</v>
      </c>
      <c r="G76" s="306">
        <f t="shared" ca="1" si="40"/>
        <v>6.364243257091565</v>
      </c>
      <c r="H76" s="307">
        <f t="shared" ca="1" si="41"/>
        <v>66.617527408878686</v>
      </c>
      <c r="I76" s="304">
        <f t="shared" ca="1" si="42"/>
        <v>66.920837937881046</v>
      </c>
      <c r="J76" s="306">
        <f t="shared" ca="1" si="43"/>
        <v>2.1698700309789767</v>
      </c>
      <c r="K76" s="307">
        <f t="shared" ca="1" si="44"/>
        <v>23.672477542597957</v>
      </c>
      <c r="L76" s="304">
        <f t="shared" ca="1" si="29"/>
        <v>23.771716996383439</v>
      </c>
      <c r="M76" s="306">
        <f t="shared" ca="1" si="45"/>
        <v>1.4755513183499689</v>
      </c>
      <c r="N76" s="304">
        <f t="shared" ca="1" si="46"/>
        <v>84.542862996417753</v>
      </c>
      <c r="P76" s="310">
        <f t="shared" ca="1" si="47"/>
        <v>3</v>
      </c>
      <c r="Q76" s="304">
        <f t="shared" ca="1" si="48"/>
        <v>772.63</v>
      </c>
      <c r="R76" s="306">
        <f t="shared" ca="1" si="49"/>
        <v>0.38774699883888702</v>
      </c>
      <c r="S76" s="307">
        <f t="shared" ca="1" si="50"/>
        <v>7.5961811553802274</v>
      </c>
      <c r="T76" s="304">
        <f t="shared" ca="1" si="30"/>
        <v>74.518537134280038</v>
      </c>
      <c r="U76" s="311">
        <f t="shared" ca="1" si="31"/>
        <v>0</v>
      </c>
      <c r="V76" s="306">
        <f t="shared" ca="1" si="32"/>
        <v>1.2221035498086374</v>
      </c>
      <c r="W76" s="304">
        <f t="shared" ca="1" si="33"/>
        <v>13.757738967208999</v>
      </c>
      <c r="Y76" s="314" t="str">
        <f t="shared" ca="1" si="51"/>
        <v/>
      </c>
      <c r="Z76" s="315" t="str">
        <f t="shared" ca="1" si="52"/>
        <v/>
      </c>
      <c r="AA76" s="316" t="str">
        <f t="shared" ca="1" si="53"/>
        <v/>
      </c>
      <c r="AC76" s="310" t="e">
        <f t="shared" ca="1" si="54"/>
        <v>#N/A</v>
      </c>
      <c r="AD76" s="323" t="e">
        <f t="shared" ca="1" si="55"/>
        <v>#N/A</v>
      </c>
      <c r="AE76" s="324">
        <f t="shared" ca="1" si="34"/>
        <v>23.672477542597957</v>
      </c>
      <c r="AG76" s="306">
        <f t="shared" ca="1" si="56"/>
        <v>90.184514131396838</v>
      </c>
      <c r="AH76" s="304">
        <f t="shared" ca="1" si="57"/>
        <v>99.950181280860278</v>
      </c>
    </row>
    <row r="77" spans="1:34" x14ac:dyDescent="0.2">
      <c r="A77" s="347">
        <f t="shared" ca="1" si="35"/>
        <v>0.01</v>
      </c>
      <c r="B77" s="304">
        <f t="shared" ca="1" si="36"/>
        <v>0.73000000000000043</v>
      </c>
      <c r="D77" s="306">
        <f t="shared" ca="1" si="37"/>
        <v>9.4908332343705819</v>
      </c>
      <c r="E77" s="307">
        <f t="shared" ca="1" si="38"/>
        <v>89.535015201810154</v>
      </c>
      <c r="F77" s="304">
        <f t="shared" ca="1" si="39"/>
        <v>90.036630671471755</v>
      </c>
      <c r="G77" s="306">
        <f t="shared" ca="1" si="40"/>
        <v>6.4591515894352707</v>
      </c>
      <c r="H77" s="307">
        <f t="shared" ca="1" si="41"/>
        <v>67.512877560896783</v>
      </c>
      <c r="I77" s="304">
        <f t="shared" ca="1" si="42"/>
        <v>67.821156550208912</v>
      </c>
      <c r="J77" s="306">
        <f t="shared" ca="1" si="43"/>
        <v>2.2339870052116106</v>
      </c>
      <c r="K77" s="307">
        <f t="shared" ca="1" si="44"/>
        <v>24.343129567446834</v>
      </c>
      <c r="L77" s="304">
        <f t="shared" ca="1" si="29"/>
        <v>24.44542196561472</v>
      </c>
      <c r="M77" s="306">
        <f t="shared" ca="1" si="45"/>
        <v>1.4754137592840659</v>
      </c>
      <c r="N77" s="304">
        <f t="shared" ca="1" si="46"/>
        <v>84.534981442507757</v>
      </c>
      <c r="P77" s="310">
        <f t="shared" ca="1" si="47"/>
        <v>3</v>
      </c>
      <c r="Q77" s="304">
        <f t="shared" ca="1" si="48"/>
        <v>771.44999999999993</v>
      </c>
      <c r="R77" s="306">
        <f t="shared" ca="1" si="49"/>
        <v>0.38715481181711736</v>
      </c>
      <c r="S77" s="307">
        <f t="shared" ca="1" si="50"/>
        <v>7.5923096072620559</v>
      </c>
      <c r="T77" s="304">
        <f t="shared" ca="1" si="30"/>
        <v>74.480557247240768</v>
      </c>
      <c r="U77" s="311">
        <f t="shared" ca="1" si="31"/>
        <v>0</v>
      </c>
      <c r="V77" s="306">
        <f t="shared" ca="1" si="32"/>
        <v>1.2220215918168034</v>
      </c>
      <c r="W77" s="304">
        <f t="shared" ca="1" si="33"/>
        <v>14.129460559102899</v>
      </c>
      <c r="Y77" s="314" t="str">
        <f t="shared" ca="1" si="51"/>
        <v/>
      </c>
      <c r="Z77" s="315" t="str">
        <f t="shared" ca="1" si="52"/>
        <v/>
      </c>
      <c r="AA77" s="316" t="str">
        <f t="shared" ca="1" si="53"/>
        <v/>
      </c>
      <c r="AC77" s="310" t="e">
        <f t="shared" ca="1" si="54"/>
        <v>#N/A</v>
      </c>
      <c r="AD77" s="323" t="e">
        <f t="shared" ca="1" si="55"/>
        <v>#N/A</v>
      </c>
      <c r="AE77" s="324">
        <f t="shared" ca="1" si="34"/>
        <v>24.343129567446834</v>
      </c>
      <c r="AG77" s="306">
        <f t="shared" ca="1" si="56"/>
        <v>90.031797065506908</v>
      </c>
      <c r="AH77" s="304">
        <f t="shared" ca="1" si="57"/>
        <v>99.797334438002522</v>
      </c>
    </row>
    <row r="78" spans="1:34" x14ac:dyDescent="0.2">
      <c r="A78" s="347">
        <f t="shared" ca="1" si="35"/>
        <v>0.01</v>
      </c>
      <c r="B78" s="304">
        <f t="shared" ca="1" si="36"/>
        <v>0.74000000000000044</v>
      </c>
      <c r="D78" s="306">
        <f t="shared" ca="1" si="37"/>
        <v>9.4898659090626811</v>
      </c>
      <c r="E78" s="307">
        <f t="shared" ca="1" si="38"/>
        <v>89.380760011856864</v>
      </c>
      <c r="F78" s="304">
        <f t="shared" ca="1" si="39"/>
        <v>89.883134209200449</v>
      </c>
      <c r="G78" s="306">
        <f t="shared" ca="1" si="40"/>
        <v>6.5540502485258978</v>
      </c>
      <c r="H78" s="307">
        <f t="shared" ca="1" si="41"/>
        <v>68.406685161015346</v>
      </c>
      <c r="I78" s="304">
        <f t="shared" ca="1" si="42"/>
        <v>68.719939969258405</v>
      </c>
      <c r="J78" s="306">
        <f t="shared" ca="1" si="43"/>
        <v>2.2990530144014163</v>
      </c>
      <c r="K78" s="307">
        <f t="shared" ca="1" si="44"/>
        <v>25.022727381056395</v>
      </c>
      <c r="L78" s="304">
        <f t="shared" ca="1" si="29"/>
        <v>25.128122300516164</v>
      </c>
      <c r="M78" s="306">
        <f t="shared" ca="1" si="45"/>
        <v>1.4752778038650023</v>
      </c>
      <c r="N78" s="304">
        <f t="shared" ca="1" si="46"/>
        <v>84.527191770793479</v>
      </c>
      <c r="P78" s="310">
        <f t="shared" ca="1" si="47"/>
        <v>3</v>
      </c>
      <c r="Q78" s="304">
        <f t="shared" ca="1" si="48"/>
        <v>770.27</v>
      </c>
      <c r="R78" s="306">
        <f t="shared" ca="1" si="49"/>
        <v>0.38656262479534775</v>
      </c>
      <c r="S78" s="307">
        <f t="shared" ca="1" si="50"/>
        <v>7.5884439810141027</v>
      </c>
      <c r="T78" s="304">
        <f t="shared" ca="1" si="30"/>
        <v>74.442635453748352</v>
      </c>
      <c r="U78" s="311">
        <f t="shared" ca="1" si="31"/>
        <v>0</v>
      </c>
      <c r="V78" s="306">
        <f t="shared" ca="1" si="32"/>
        <v>1.221938546192022</v>
      </c>
      <c r="W78" s="304">
        <f t="shared" ca="1" si="33"/>
        <v>14.505450680090251</v>
      </c>
      <c r="Y78" s="314" t="str">
        <f t="shared" ca="1" si="51"/>
        <v/>
      </c>
      <c r="Z78" s="315" t="str">
        <f t="shared" ca="1" si="52"/>
        <v/>
      </c>
      <c r="AA78" s="316" t="str">
        <f t="shared" ca="1" si="53"/>
        <v/>
      </c>
      <c r="AC78" s="310" t="e">
        <f t="shared" ca="1" si="54"/>
        <v>#N/A</v>
      </c>
      <c r="AD78" s="323" t="e">
        <f t="shared" ca="1" si="55"/>
        <v>#N/A</v>
      </c>
      <c r="AE78" s="324">
        <f t="shared" ca="1" si="34"/>
        <v>25.022727381056395</v>
      </c>
      <c r="AG78" s="306">
        <f t="shared" ca="1" si="56"/>
        <v>89.878278394408568</v>
      </c>
      <c r="AH78" s="304">
        <f t="shared" ca="1" si="57"/>
        <v>99.643687339950318</v>
      </c>
    </row>
    <row r="79" spans="1:34" x14ac:dyDescent="0.2">
      <c r="A79" s="347">
        <f t="shared" ca="1" si="35"/>
        <v>0.01</v>
      </c>
      <c r="B79" s="304">
        <f t="shared" ca="1" si="36"/>
        <v>0.75000000000000044</v>
      </c>
      <c r="D79" s="306">
        <f t="shared" ca="1" si="37"/>
        <v>9.4886214846884531</v>
      </c>
      <c r="E79" s="307">
        <f t="shared" ca="1" si="38"/>
        <v>89.22572873294925</v>
      </c>
      <c r="F79" s="304">
        <f t="shared" ca="1" si="39"/>
        <v>89.728839319393501</v>
      </c>
      <c r="G79" s="306">
        <f t="shared" ca="1" si="40"/>
        <v>6.6489364633727828</v>
      </c>
      <c r="H79" s="307">
        <f t="shared" ca="1" si="41"/>
        <v>69.298942448344832</v>
      </c>
      <c r="I79" s="304">
        <f t="shared" ca="1" si="42"/>
        <v>69.617180211158924</v>
      </c>
      <c r="J79" s="306">
        <f t="shared" ca="1" si="43"/>
        <v>2.3650679479609096</v>
      </c>
      <c r="K79" s="307">
        <f t="shared" ca="1" si="44"/>
        <v>25.711255519103197</v>
      </c>
      <c r="L79" s="304">
        <f t="shared" ca="1" si="29"/>
        <v>25.819802608987672</v>
      </c>
      <c r="M79" s="306">
        <f t="shared" ca="1" si="45"/>
        <v>1.475143409959305</v>
      </c>
      <c r="N79" s="304">
        <f t="shared" ca="1" si="46"/>
        <v>84.519491567204753</v>
      </c>
      <c r="P79" s="310">
        <f t="shared" ca="1" si="47"/>
        <v>3</v>
      </c>
      <c r="Q79" s="304">
        <f t="shared" ca="1" si="48"/>
        <v>769.08999999999992</v>
      </c>
      <c r="R79" s="306">
        <f t="shared" ca="1" si="49"/>
        <v>0.38597043777357803</v>
      </c>
      <c r="S79" s="307">
        <f t="shared" ca="1" si="50"/>
        <v>7.5845842766363667</v>
      </c>
      <c r="T79" s="304">
        <f t="shared" ca="1" si="30"/>
        <v>74.404771753802763</v>
      </c>
      <c r="U79" s="311">
        <f t="shared" ca="1" si="31"/>
        <v>0</v>
      </c>
      <c r="V79" s="306">
        <f t="shared" ca="1" si="32"/>
        <v>1.2218544150458359</v>
      </c>
      <c r="W79" s="304">
        <f t="shared" ca="1" si="33"/>
        <v>14.885678624380244</v>
      </c>
      <c r="Y79" s="314" t="str">
        <f t="shared" ca="1" si="51"/>
        <v/>
      </c>
      <c r="Z79" s="315" t="str">
        <f t="shared" ca="1" si="52"/>
        <v/>
      </c>
      <c r="AA79" s="316" t="str">
        <f t="shared" ca="1" si="53"/>
        <v/>
      </c>
      <c r="AC79" s="310" t="e">
        <f t="shared" ca="1" si="54"/>
        <v>#N/A</v>
      </c>
      <c r="AD79" s="323" t="e">
        <f t="shared" ca="1" si="55"/>
        <v>#N/A</v>
      </c>
      <c r="AE79" s="324">
        <f t="shared" ca="1" si="34"/>
        <v>25.711255519103197</v>
      </c>
      <c r="AG79" s="306">
        <f t="shared" ca="1" si="56"/>
        <v>89.723961319744575</v>
      </c>
      <c r="AH79" s="304">
        <f t="shared" ca="1" si="57"/>
        <v>99.48924315395108</v>
      </c>
    </row>
    <row r="80" spans="1:34" x14ac:dyDescent="0.2">
      <c r="A80" s="347">
        <f t="shared" ca="1" si="35"/>
        <v>0.01</v>
      </c>
      <c r="B80" s="304">
        <f t="shared" ca="1" si="36"/>
        <v>0.76000000000000045</v>
      </c>
      <c r="D80" s="306">
        <f t="shared" ca="1" si="37"/>
        <v>9.487104855330287</v>
      </c>
      <c r="E80" s="307">
        <f t="shared" ca="1" si="38"/>
        <v>89.069924179249185</v>
      </c>
      <c r="F80" s="304">
        <f t="shared" ca="1" si="39"/>
        <v>89.573749233987243</v>
      </c>
      <c r="G80" s="306">
        <f t="shared" ca="1" si="40"/>
        <v>6.7438075119260859</v>
      </c>
      <c r="H80" s="307">
        <f t="shared" ca="1" si="41"/>
        <v>70.189641690137321</v>
      </c>
      <c r="I80" s="304">
        <f t="shared" ca="1" si="42"/>
        <v>70.51286932431394</v>
      </c>
      <c r="J80" s="306">
        <f t="shared" ca="1" si="43"/>
        <v>2.4320316678374039</v>
      </c>
      <c r="K80" s="307">
        <f t="shared" ca="1" si="44"/>
        <v>26.408698439795607</v>
      </c>
      <c r="L80" s="304">
        <f t="shared" ca="1" si="29"/>
        <v>26.520447419254204</v>
      </c>
      <c r="M80" s="306">
        <f t="shared" ca="1" si="45"/>
        <v>1.4750105370709869</v>
      </c>
      <c r="N80" s="304">
        <f t="shared" ca="1" si="46"/>
        <v>84.511878511492412</v>
      </c>
      <c r="P80" s="310">
        <f t="shared" ca="1" si="47"/>
        <v>3</v>
      </c>
      <c r="Q80" s="304">
        <f t="shared" ca="1" si="48"/>
        <v>767.91</v>
      </c>
      <c r="R80" s="306">
        <f t="shared" ca="1" si="49"/>
        <v>0.38537825075180843</v>
      </c>
      <c r="S80" s="307">
        <f t="shared" ca="1" si="50"/>
        <v>7.5807304941288489</v>
      </c>
      <c r="T80" s="304">
        <f t="shared" ca="1" si="30"/>
        <v>74.366966147404014</v>
      </c>
      <c r="U80" s="311">
        <f t="shared" ca="1" si="31"/>
        <v>0</v>
      </c>
      <c r="V80" s="306">
        <f t="shared" ca="1" si="32"/>
        <v>1.2217692005016088</v>
      </c>
      <c r="W80" s="304">
        <f t="shared" ca="1" si="33"/>
        <v>15.270113555616671</v>
      </c>
      <c r="Y80" s="314" t="str">
        <f t="shared" ca="1" si="51"/>
        <v/>
      </c>
      <c r="Z80" s="315" t="str">
        <f t="shared" ca="1" si="52"/>
        <v/>
      </c>
      <c r="AA80" s="316" t="str">
        <f t="shared" ca="1" si="53"/>
        <v/>
      </c>
      <c r="AC80" s="310" t="e">
        <f t="shared" ca="1" si="54"/>
        <v>#N/A</v>
      </c>
      <c r="AD80" s="323" t="e">
        <f t="shared" ca="1" si="55"/>
        <v>#N/A</v>
      </c>
      <c r="AE80" s="324">
        <f t="shared" ca="1" si="34"/>
        <v>26.408698439795607</v>
      </c>
      <c r="AG80" s="306">
        <f t="shared" ca="1" si="56"/>
        <v>89.568849069545934</v>
      </c>
      <c r="AH80" s="304">
        <f t="shared" ca="1" si="57"/>
        <v>99.33400507494953</v>
      </c>
    </row>
    <row r="81" spans="1:34" x14ac:dyDescent="0.2">
      <c r="A81" s="347">
        <f t="shared" ca="1" si="35"/>
        <v>0.01</v>
      </c>
      <c r="B81" s="304">
        <f t="shared" ca="1" si="36"/>
        <v>0.77000000000000046</v>
      </c>
      <c r="D81" s="306">
        <f t="shared" ca="1" si="37"/>
        <v>9.4853207388895644</v>
      </c>
      <c r="E81" s="307">
        <f t="shared" ca="1" si="38"/>
        <v>88.913349206113082</v>
      </c>
      <c r="F81" s="304">
        <f t="shared" ca="1" si="39"/>
        <v>89.417867211021189</v>
      </c>
      <c r="G81" s="306">
        <f t="shared" ca="1" si="40"/>
        <v>6.8386607193149818</v>
      </c>
      <c r="H81" s="307">
        <f t="shared" ca="1" si="41"/>
        <v>71.078775182198456</v>
      </c>
      <c r="I81" s="304">
        <f t="shared" ca="1" si="42"/>
        <v>71.406999389663568</v>
      </c>
      <c r="J81" s="306">
        <f t="shared" ca="1" si="43"/>
        <v>2.4999440089936091</v>
      </c>
      <c r="K81" s="307">
        <f t="shared" ca="1" si="44"/>
        <v>27.115040524157287</v>
      </c>
      <c r="L81" s="304">
        <f t="shared" ca="1" si="29"/>
        <v>27.230041180189115</v>
      </c>
      <c r="M81" s="306">
        <f t="shared" ca="1" si="45"/>
        <v>1.474879146257027</v>
      </c>
      <c r="N81" s="304">
        <f t="shared" ca="1" si="46"/>
        <v>84.504350372385716</v>
      </c>
      <c r="P81" s="310">
        <f t="shared" ca="1" si="47"/>
        <v>3</v>
      </c>
      <c r="Q81" s="304">
        <f t="shared" ca="1" si="48"/>
        <v>766.7299999999999</v>
      </c>
      <c r="R81" s="306">
        <f t="shared" ca="1" si="49"/>
        <v>0.38478606373003871</v>
      </c>
      <c r="S81" s="307">
        <f t="shared" ca="1" si="50"/>
        <v>7.5768826334915484</v>
      </c>
      <c r="T81" s="304">
        <f t="shared" ca="1" si="30"/>
        <v>74.329218634552092</v>
      </c>
      <c r="U81" s="311">
        <f t="shared" ca="1" si="31"/>
        <v>0</v>
      </c>
      <c r="V81" s="306">
        <f t="shared" ca="1" si="32"/>
        <v>1.2216829046944726</v>
      </c>
      <c r="W81" s="304">
        <f t="shared" ca="1" si="33"/>
        <v>15.658724509028001</v>
      </c>
      <c r="Y81" s="314" t="str">
        <f t="shared" ca="1" si="51"/>
        <v/>
      </c>
      <c r="Z81" s="315" t="str">
        <f t="shared" ca="1" si="52"/>
        <v/>
      </c>
      <c r="AA81" s="316" t="str">
        <f t="shared" ca="1" si="53"/>
        <v/>
      </c>
      <c r="AC81" s="310" t="e">
        <f t="shared" ca="1" si="54"/>
        <v>#N/A</v>
      </c>
      <c r="AD81" s="323" t="e">
        <f t="shared" ca="1" si="55"/>
        <v>#N/A</v>
      </c>
      <c r="AE81" s="324">
        <f t="shared" ca="1" si="34"/>
        <v>27.115040524157287</v>
      </c>
      <c r="AG81" s="306">
        <f t="shared" ca="1" si="56"/>
        <v>89.412944898061383</v>
      </c>
      <c r="AH81" s="304">
        <f t="shared" ca="1" si="57"/>
        <v>99.177976325350372</v>
      </c>
    </row>
    <row r="82" spans="1:34" x14ac:dyDescent="0.2">
      <c r="A82" s="347">
        <f t="shared" ca="1" si="35"/>
        <v>0.01</v>
      </c>
      <c r="B82" s="304">
        <f t="shared" ca="1" si="36"/>
        <v>0.78000000000000047</v>
      </c>
      <c r="D82" s="306">
        <f t="shared" ca="1" si="37"/>
        <v>9.4832736863259068</v>
      </c>
      <c r="E82" s="307">
        <f t="shared" ca="1" si="38"/>
        <v>88.756006709152402</v>
      </c>
      <c r="F82" s="304">
        <f t="shared" ca="1" si="39"/>
        <v>89.261196534467686</v>
      </c>
      <c r="G82" s="306">
        <f t="shared" ca="1" si="40"/>
        <v>6.9334934561782404</v>
      </c>
      <c r="H82" s="307">
        <f t="shared" ca="1" si="41"/>
        <v>71.966335249289983</v>
      </c>
      <c r="I82" s="304">
        <f t="shared" ca="1" si="42"/>
        <v>72.299562520945202</v>
      </c>
      <c r="J82" s="306">
        <f t="shared" ca="1" si="43"/>
        <v>2.5688047798710754</v>
      </c>
      <c r="K82" s="307">
        <f t="shared" ca="1" si="44"/>
        <v>27.830266076314729</v>
      </c>
      <c r="L82" s="304">
        <f t="shared" ca="1" si="29"/>
        <v>27.948568261640215</v>
      </c>
      <c r="M82" s="306">
        <f t="shared" ca="1" si="45"/>
        <v>1.4747492000482623</v>
      </c>
      <c r="N82" s="304">
        <f t="shared" ca="1" si="46"/>
        <v>84.496905003059766</v>
      </c>
      <c r="P82" s="310">
        <f t="shared" ca="1" si="47"/>
        <v>3</v>
      </c>
      <c r="Q82" s="304">
        <f t="shared" ca="1" si="48"/>
        <v>765.55</v>
      </c>
      <c r="R82" s="306">
        <f t="shared" ca="1" si="49"/>
        <v>0.3841938767082691</v>
      </c>
      <c r="S82" s="307">
        <f t="shared" ca="1" si="50"/>
        <v>7.5730406947244662</v>
      </c>
      <c r="T82" s="304">
        <f t="shared" ca="1" si="30"/>
        <v>74.29152921524701</v>
      </c>
      <c r="U82" s="311">
        <f t="shared" ca="1" si="31"/>
        <v>0</v>
      </c>
      <c r="V82" s="306">
        <f t="shared" ca="1" si="32"/>
        <v>1.2215955297712673</v>
      </c>
      <c r="W82" s="304">
        <f t="shared" ca="1" si="33"/>
        <v>16.051480393584711</v>
      </c>
      <c r="Y82" s="314" t="str">
        <f t="shared" ca="1" si="51"/>
        <v/>
      </c>
      <c r="Z82" s="315" t="str">
        <f t="shared" ca="1" si="52"/>
        <v/>
      </c>
      <c r="AA82" s="316" t="str">
        <f t="shared" ca="1" si="53"/>
        <v/>
      </c>
      <c r="AC82" s="310" t="e">
        <f t="shared" ca="1" si="54"/>
        <v>#N/A</v>
      </c>
      <c r="AD82" s="323" t="e">
        <f t="shared" ca="1" si="55"/>
        <v>#N/A</v>
      </c>
      <c r="AE82" s="324">
        <f t="shared" ca="1" si="34"/>
        <v>27.830266076314729</v>
      </c>
      <c r="AG82" s="306">
        <f t="shared" ca="1" si="56"/>
        <v>89.256252085580883</v>
      </c>
      <c r="AH82" s="304">
        <f t="shared" ca="1" si="57"/>
        <v>99.021160154779224</v>
      </c>
    </row>
    <row r="83" spans="1:34" x14ac:dyDescent="0.2">
      <c r="A83" s="347">
        <f t="shared" ca="1" si="35"/>
        <v>0.01</v>
      </c>
      <c r="B83" s="304">
        <f t="shared" ca="1" si="36"/>
        <v>0.79000000000000048</v>
      </c>
      <c r="D83" s="306">
        <f t="shared" ca="1" si="37"/>
        <v>9.4809680903040725</v>
      </c>
      <c r="E83" s="307">
        <f t="shared" ca="1" si="38"/>
        <v>88.59789962333565</v>
      </c>
      <c r="F83" s="304">
        <f t="shared" ca="1" si="39"/>
        <v>89.103740514054877</v>
      </c>
      <c r="G83" s="306">
        <f t="shared" ca="1" si="40"/>
        <v>7.0283031370812807</v>
      </c>
      <c r="H83" s="307">
        <f t="shared" ca="1" si="41"/>
        <v>72.852314245523345</v>
      </c>
      <c r="I83" s="304">
        <f t="shared" ca="1" si="42"/>
        <v>73.190550864952442</v>
      </c>
      <c r="J83" s="306">
        <f t="shared" ca="1" si="43"/>
        <v>2.6386137628373731</v>
      </c>
      <c r="K83" s="307">
        <f t="shared" ca="1" si="44"/>
        <v>28.554359323788795</v>
      </c>
      <c r="L83" s="304">
        <f t="shared" ca="1" si="29"/>
        <v>28.676012954758527</v>
      </c>
      <c r="M83" s="306">
        <f t="shared" ca="1" si="45"/>
        <v>1.4746206623752747</v>
      </c>
      <c r="N83" s="304">
        <f t="shared" ca="1" si="46"/>
        <v>84.489540336889149</v>
      </c>
      <c r="P83" s="310">
        <f t="shared" ca="1" si="47"/>
        <v>3</v>
      </c>
      <c r="Q83" s="304">
        <f t="shared" ca="1" si="48"/>
        <v>764.36999999999989</v>
      </c>
      <c r="R83" s="306">
        <f t="shared" ca="1" si="49"/>
        <v>0.38360168968649944</v>
      </c>
      <c r="S83" s="307">
        <f t="shared" ca="1" si="50"/>
        <v>7.5692046778276012</v>
      </c>
      <c r="T83" s="304">
        <f t="shared" ca="1" si="30"/>
        <v>74.253897889488769</v>
      </c>
      <c r="U83" s="311">
        <f t="shared" ca="1" si="31"/>
        <v>0</v>
      </c>
      <c r="V83" s="306">
        <f t="shared" ca="1" si="32"/>
        <v>1.2215070778904862</v>
      </c>
      <c r="W83" s="304">
        <f t="shared" ca="1" si="33"/>
        <v>16.448349994163873</v>
      </c>
      <c r="Y83" s="314" t="str">
        <f t="shared" ca="1" si="51"/>
        <v/>
      </c>
      <c r="Z83" s="315" t="str">
        <f t="shared" ca="1" si="52"/>
        <v/>
      </c>
      <c r="AA83" s="316" t="str">
        <f t="shared" ca="1" si="53"/>
        <v/>
      </c>
      <c r="AC83" s="310" t="e">
        <f t="shared" ca="1" si="54"/>
        <v>#N/A</v>
      </c>
      <c r="AD83" s="323" t="e">
        <f t="shared" ca="1" si="55"/>
        <v>#N/A</v>
      </c>
      <c r="AE83" s="324">
        <f t="shared" ca="1" si="34"/>
        <v>28.554359323788795</v>
      </c>
      <c r="AG83" s="306">
        <f t="shared" ca="1" si="56"/>
        <v>89.098773938252833</v>
      </c>
      <c r="AH83" s="304">
        <f t="shared" ca="1" si="57"/>
        <v>98.86355983984123</v>
      </c>
    </row>
    <row r="84" spans="1:34" x14ac:dyDescent="0.2">
      <c r="A84" s="347">
        <f t="shared" ca="1" si="35"/>
        <v>0.01</v>
      </c>
      <c r="B84" s="304">
        <f t="shared" ca="1" si="36"/>
        <v>0.80000000000000049</v>
      </c>
      <c r="D84" s="306">
        <f t="shared" ca="1" si="37"/>
        <v>9.4784081932940065</v>
      </c>
      <c r="E84" s="307">
        <f t="shared" ca="1" si="38"/>
        <v>88.439030922129476</v>
      </c>
      <c r="F84" s="304">
        <f t="shared" ca="1" si="39"/>
        <v>88.945502485083964</v>
      </c>
      <c r="G84" s="306">
        <f t="shared" ca="1" si="40"/>
        <v>7.1230872190142209</v>
      </c>
      <c r="H84" s="307">
        <f t="shared" ca="1" si="41"/>
        <v>73.736704554744634</v>
      </c>
      <c r="I84" s="304">
        <f t="shared" ca="1" si="42"/>
        <v>74.079956601791977</v>
      </c>
      <c r="J84" s="306">
        <f t="shared" ca="1" si="43"/>
        <v>2.7093707146178505</v>
      </c>
      <c r="K84" s="307">
        <f t="shared" ca="1" si="44"/>
        <v>29.287304417790136</v>
      </c>
      <c r="L84" s="304">
        <f t="shared" ca="1" si="29"/>
        <v>29.412359472329626</v>
      </c>
      <c r="M84" s="306">
        <f t="shared" ca="1" si="45"/>
        <v>1.4744934984988995</v>
      </c>
      <c r="N84" s="304">
        <f t="shared" ca="1" si="46"/>
        <v>84.482254383466326</v>
      </c>
      <c r="P84" s="310">
        <f t="shared" ca="1" si="47"/>
        <v>3</v>
      </c>
      <c r="Q84" s="304">
        <f t="shared" ca="1" si="48"/>
        <v>763.18999999999994</v>
      </c>
      <c r="R84" s="306">
        <f t="shared" ca="1" si="49"/>
        <v>0.38300950266472977</v>
      </c>
      <c r="S84" s="307">
        <f t="shared" ca="1" si="50"/>
        <v>7.5653745828009535</v>
      </c>
      <c r="T84" s="304">
        <f t="shared" ca="1" si="30"/>
        <v>74.216324657277355</v>
      </c>
      <c r="U84" s="311">
        <f t="shared" ca="1" si="31"/>
        <v>0</v>
      </c>
      <c r="V84" s="306">
        <f t="shared" ca="1" si="32"/>
        <v>1.2214175512222165</v>
      </c>
      <c r="W84" s="304">
        <f t="shared" ca="1" si="33"/>
        <v>16.849301973720564</v>
      </c>
      <c r="Y84" s="314" t="str">
        <f t="shared" ca="1" si="51"/>
        <v/>
      </c>
      <c r="Z84" s="315" t="str">
        <f t="shared" ca="1" si="52"/>
        <v/>
      </c>
      <c r="AA84" s="316" t="str">
        <f t="shared" ca="1" si="53"/>
        <v/>
      </c>
      <c r="AC84" s="310" t="e">
        <f t="shared" ca="1" si="54"/>
        <v>#N/A</v>
      </c>
      <c r="AD84" s="323" t="e">
        <f t="shared" ca="1" si="55"/>
        <v>#N/A</v>
      </c>
      <c r="AE84" s="324">
        <f t="shared" ca="1" si="34"/>
        <v>29.287304417790136</v>
      </c>
      <c r="AG84" s="306">
        <f t="shared" ca="1" si="56"/>
        <v>88.940513787895895</v>
      </c>
      <c r="AH84" s="304">
        <f t="shared" ca="1" si="57"/>
        <v>98.705178683877861</v>
      </c>
    </row>
    <row r="85" spans="1:34" x14ac:dyDescent="0.2">
      <c r="A85" s="347">
        <f t="shared" ca="1" si="35"/>
        <v>0.01</v>
      </c>
      <c r="B85" s="304">
        <f t="shared" ca="1" si="36"/>
        <v>0.8100000000000005</v>
      </c>
      <c r="D85" s="306">
        <f t="shared" ca="1" si="37"/>
        <v>9.4755980951647967</v>
      </c>
      <c r="E85" s="307">
        <f t="shared" ca="1" si="38"/>
        <v>88.279403616675253</v>
      </c>
      <c r="F85" s="304">
        <f t="shared" ca="1" si="39"/>
        <v>88.786485808240812</v>
      </c>
      <c r="G85" s="306">
        <f t="shared" ca="1" si="40"/>
        <v>7.217843199965869</v>
      </c>
      <c r="H85" s="307">
        <f t="shared" ca="1" si="41"/>
        <v>74.619498590911391</v>
      </c>
      <c r="I85" s="304">
        <f t="shared" ca="1" si="42"/>
        <v>74.967771945138665</v>
      </c>
      <c r="J85" s="306">
        <f t="shared" ca="1" si="43"/>
        <v>2.7810753667127508</v>
      </c>
      <c r="K85" s="307">
        <f t="shared" ca="1" si="44"/>
        <v>30.029085433518414</v>
      </c>
      <c r="L85" s="304">
        <f t="shared" ca="1" si="29"/>
        <v>30.15759194910768</v>
      </c>
      <c r="M85" s="306">
        <f t="shared" ca="1" si="45"/>
        <v>1.4743676749450161</v>
      </c>
      <c r="N85" s="304">
        <f t="shared" ca="1" si="46"/>
        <v>84.475045224865468</v>
      </c>
      <c r="P85" s="310">
        <f t="shared" ca="1" si="47"/>
        <v>3</v>
      </c>
      <c r="Q85" s="304">
        <f t="shared" ca="1" si="48"/>
        <v>762.01</v>
      </c>
      <c r="R85" s="306">
        <f t="shared" ca="1" si="49"/>
        <v>0.38241731564296016</v>
      </c>
      <c r="S85" s="307">
        <f t="shared" ca="1" si="50"/>
        <v>7.5615504096445241</v>
      </c>
      <c r="T85" s="304">
        <f t="shared" ca="1" si="30"/>
        <v>74.17880951861278</v>
      </c>
      <c r="U85" s="311">
        <f t="shared" ca="1" si="31"/>
        <v>0</v>
      </c>
      <c r="V85" s="306">
        <f t="shared" ca="1" si="32"/>
        <v>1.2213269519480818</v>
      </c>
      <c r="W85" s="304">
        <f t="shared" ca="1" si="33"/>
        <v>17.254304875465916</v>
      </c>
      <c r="Y85" s="314" t="str">
        <f t="shared" ca="1" si="51"/>
        <v/>
      </c>
      <c r="Z85" s="315" t="str">
        <f t="shared" ca="1" si="52"/>
        <v/>
      </c>
      <c r="AA85" s="316" t="str">
        <f t="shared" ca="1" si="53"/>
        <v/>
      </c>
      <c r="AC85" s="310" t="e">
        <f t="shared" ca="1" si="54"/>
        <v>#N/A</v>
      </c>
      <c r="AD85" s="323" t="e">
        <f t="shared" ca="1" si="55"/>
        <v>#N/A</v>
      </c>
      <c r="AE85" s="324">
        <f t="shared" ca="1" si="34"/>
        <v>30.029085433518414</v>
      </c>
      <c r="AG85" s="306">
        <f t="shared" ca="1" si="56"/>
        <v>88.781474991805382</v>
      </c>
      <c r="AH85" s="304">
        <f t="shared" ca="1" si="57"/>
        <v>98.546020016721698</v>
      </c>
    </row>
    <row r="86" spans="1:34" x14ac:dyDescent="0.2">
      <c r="A86" s="347">
        <f t="shared" ca="1" si="35"/>
        <v>0.01</v>
      </c>
      <c r="B86" s="304">
        <f t="shared" ca="1" si="36"/>
        <v>0.82000000000000051</v>
      </c>
      <c r="D86" s="306">
        <f t="shared" ca="1" si="37"/>
        <v>9.4725417603097632</v>
      </c>
      <c r="E86" s="307">
        <f t="shared" ca="1" si="38"/>
        <v>88.119020754998672</v>
      </c>
      <c r="F86" s="304">
        <f t="shared" ca="1" si="39"/>
        <v>88.626693869402004</v>
      </c>
      <c r="G86" s="306">
        <f t="shared" ca="1" si="40"/>
        <v>7.3125686175689664</v>
      </c>
      <c r="H86" s="307">
        <f t="shared" ca="1" si="41"/>
        <v>75.500688798461383</v>
      </c>
      <c r="I86" s="304">
        <f t="shared" ca="1" si="42"/>
        <v>75.85398914248853</v>
      </c>
      <c r="J86" s="306">
        <f t="shared" ca="1" si="43"/>
        <v>2.8537274258004248</v>
      </c>
      <c r="K86" s="307">
        <f t="shared" ca="1" si="44"/>
        <v>30.779686370465278</v>
      </c>
      <c r="L86" s="304">
        <f t="shared" ca="1" si="29"/>
        <v>30.911694442152012</v>
      </c>
      <c r="M86" s="306">
        <f t="shared" ca="1" si="45"/>
        <v>1.4742431594432999</v>
      </c>
      <c r="N86" s="304">
        <f t="shared" ca="1" si="46"/>
        <v>84.467911012133172</v>
      </c>
      <c r="P86" s="310">
        <f t="shared" ca="1" si="47"/>
        <v>3</v>
      </c>
      <c r="Q86" s="304">
        <f t="shared" ca="1" si="48"/>
        <v>760.82999999999993</v>
      </c>
      <c r="R86" s="306">
        <f t="shared" ca="1" si="49"/>
        <v>0.3818251286211905</v>
      </c>
      <c r="S86" s="307">
        <f t="shared" ca="1" si="50"/>
        <v>7.5577321583583119</v>
      </c>
      <c r="T86" s="304">
        <f t="shared" ca="1" si="30"/>
        <v>74.141352473495047</v>
      </c>
      <c r="U86" s="311">
        <f t="shared" ca="1" si="31"/>
        <v>0</v>
      </c>
      <c r="V86" s="306">
        <f t="shared" ca="1" si="32"/>
        <v>1.2212352822611821</v>
      </c>
      <c r="W86" s="304">
        <f t="shared" ca="1" si="33"/>
        <v>17.663327125051545</v>
      </c>
      <c r="Y86" s="314" t="str">
        <f t="shared" ca="1" si="51"/>
        <v/>
      </c>
      <c r="Z86" s="315" t="str">
        <f t="shared" ca="1" si="52"/>
        <v/>
      </c>
      <c r="AA86" s="316" t="str">
        <f t="shared" ca="1" si="53"/>
        <v/>
      </c>
      <c r="AC86" s="310" t="e">
        <f t="shared" ca="1" si="54"/>
        <v>#N/A</v>
      </c>
      <c r="AD86" s="323" t="e">
        <f t="shared" ca="1" si="55"/>
        <v>#N/A</v>
      </c>
      <c r="AE86" s="324">
        <f t="shared" ca="1" si="34"/>
        <v>30.779686370465278</v>
      </c>
      <c r="AG86" s="306">
        <f t="shared" ca="1" si="56"/>
        <v>88.621660932554619</v>
      </c>
      <c r="AH86" s="304">
        <f t="shared" ca="1" si="57"/>
        <v>98.38608719444926</v>
      </c>
    </row>
    <row r="87" spans="1:34" x14ac:dyDescent="0.2">
      <c r="A87" s="347">
        <f t="shared" ca="1" si="35"/>
        <v>0.01</v>
      </c>
      <c r="B87" s="304">
        <f t="shared" ca="1" si="36"/>
        <v>0.83000000000000052</v>
      </c>
      <c r="D87" s="306">
        <f t="shared" ca="1" si="37"/>
        <v>9.4692430243375458</v>
      </c>
      <c r="E87" s="307">
        <f t="shared" ca="1" si="38"/>
        <v>87.957885421249927</v>
      </c>
      <c r="F87" s="304">
        <f t="shared" ca="1" si="39"/>
        <v>88.466130079436027</v>
      </c>
      <c r="G87" s="306">
        <f t="shared" ca="1" si="40"/>
        <v>7.4072610478123417</v>
      </c>
      <c r="H87" s="307">
        <f t="shared" ca="1" si="41"/>
        <v>76.380267652673879</v>
      </c>
      <c r="I87" s="304">
        <f t="shared" ca="1" si="42"/>
        <v>76.738600475409626</v>
      </c>
      <c r="J87" s="306">
        <f t="shared" ca="1" si="43"/>
        <v>2.9273265741273313</v>
      </c>
      <c r="K87" s="307">
        <f t="shared" ca="1" si="44"/>
        <v>31.539091152720953</v>
      </c>
      <c r="L87" s="304">
        <f t="shared" ca="1" si="29"/>
        <v>31.674650931166283</v>
      </c>
      <c r="M87" s="306">
        <f t="shared" ca="1" si="45"/>
        <v>1.4741199208696576</v>
      </c>
      <c r="N87" s="304">
        <f t="shared" ca="1" si="46"/>
        <v>84.460849961990263</v>
      </c>
      <c r="P87" s="310">
        <f t="shared" ca="1" si="47"/>
        <v>3</v>
      </c>
      <c r="Q87" s="304">
        <f t="shared" ca="1" si="48"/>
        <v>759.65</v>
      </c>
      <c r="R87" s="306">
        <f t="shared" ca="1" si="49"/>
        <v>0.38123294159942084</v>
      </c>
      <c r="S87" s="307">
        <f t="shared" ca="1" si="50"/>
        <v>7.5539198289423179</v>
      </c>
      <c r="T87" s="304">
        <f t="shared" ca="1" si="30"/>
        <v>74.10395352192414</v>
      </c>
      <c r="U87" s="311">
        <f t="shared" ca="1" si="31"/>
        <v>0</v>
      </c>
      <c r="V87" s="306">
        <f t="shared" ca="1" si="32"/>
        <v>1.2211425443660346</v>
      </c>
      <c r="W87" s="304">
        <f t="shared" ca="1" si="33"/>
        <v>18.076337032759962</v>
      </c>
      <c r="Y87" s="314" t="str">
        <f t="shared" ca="1" si="51"/>
        <v/>
      </c>
      <c r="Z87" s="315" t="str">
        <f t="shared" ca="1" si="52"/>
        <v/>
      </c>
      <c r="AA87" s="316" t="str">
        <f t="shared" ca="1" si="53"/>
        <v/>
      </c>
      <c r="AC87" s="310" t="e">
        <f t="shared" ca="1" si="54"/>
        <v>#N/A</v>
      </c>
      <c r="AD87" s="323" t="e">
        <f t="shared" ca="1" si="55"/>
        <v>#N/A</v>
      </c>
      <c r="AE87" s="324">
        <f t="shared" ca="1" si="34"/>
        <v>31.539091152720953</v>
      </c>
      <c r="AG87" s="306">
        <f t="shared" ca="1" si="56"/>
        <v>88.461075017791501</v>
      </c>
      <c r="AH87" s="304">
        <f t="shared" ca="1" si="57"/>
        <v>98.225383599131959</v>
      </c>
    </row>
    <row r="88" spans="1:34" x14ac:dyDescent="0.2">
      <c r="A88" s="347">
        <f t="shared" ca="1" si="35"/>
        <v>0.01</v>
      </c>
      <c r="B88" s="304">
        <f t="shared" ca="1" si="36"/>
        <v>0.84000000000000052</v>
      </c>
      <c r="D88" s="306">
        <f t="shared" ca="1" si="37"/>
        <v>9.4657056003598807</v>
      </c>
      <c r="E88" s="307">
        <f t="shared" ca="1" si="38"/>
        <v>87.796000734972154</v>
      </c>
      <c r="F88" s="304">
        <f t="shared" ca="1" si="39"/>
        <v>88.304797873999547</v>
      </c>
      <c r="G88" s="306">
        <f t="shared" ca="1" si="40"/>
        <v>7.5019181038159406</v>
      </c>
      <c r="H88" s="307">
        <f t="shared" ca="1" si="41"/>
        <v>77.258227660023607</v>
      </c>
      <c r="I88" s="304">
        <f t="shared" ca="1" si="42"/>
        <v>77.621598259791057</v>
      </c>
      <c r="J88" s="306">
        <f t="shared" ca="1" si="43"/>
        <v>3.0018724698854728</v>
      </c>
      <c r="K88" s="307">
        <f t="shared" ca="1" si="44"/>
        <v>32.307283629284441</v>
      </c>
      <c r="L88" s="304">
        <f t="shared" ca="1" si="29"/>
        <v>32.446445318840198</v>
      </c>
      <c r="M88" s="306">
        <f t="shared" ca="1" si="45"/>
        <v>1.4739979291920768</v>
      </c>
      <c r="N88" s="304">
        <f t="shared" ca="1" si="46"/>
        <v>84.453860353729169</v>
      </c>
      <c r="P88" s="310">
        <f t="shared" ca="1" si="47"/>
        <v>3</v>
      </c>
      <c r="Q88" s="304">
        <f t="shared" ca="1" si="48"/>
        <v>758.46999999999991</v>
      </c>
      <c r="R88" s="306">
        <f t="shared" ca="1" si="49"/>
        <v>0.38064075457765117</v>
      </c>
      <c r="S88" s="307">
        <f t="shared" ca="1" si="50"/>
        <v>7.5501134213965413</v>
      </c>
      <c r="T88" s="304">
        <f t="shared" ca="1" si="30"/>
        <v>74.066612663900074</v>
      </c>
      <c r="U88" s="311">
        <f t="shared" ca="1" si="31"/>
        <v>0</v>
      </c>
      <c r="V88" s="306">
        <f t="shared" ca="1" si="32"/>
        <v>1.2210487404785153</v>
      </c>
      <c r="W88" s="304">
        <f t="shared" ca="1" si="33"/>
        <v>18.493302795701027</v>
      </c>
      <c r="Y88" s="314" t="str">
        <f t="shared" ca="1" si="51"/>
        <v/>
      </c>
      <c r="Z88" s="315" t="str">
        <f t="shared" ca="1" si="52"/>
        <v/>
      </c>
      <c r="AA88" s="316" t="str">
        <f t="shared" ca="1" si="53"/>
        <v/>
      </c>
      <c r="AC88" s="310" t="e">
        <f t="shared" ca="1" si="54"/>
        <v>#N/A</v>
      </c>
      <c r="AD88" s="323" t="e">
        <f t="shared" ca="1" si="55"/>
        <v>#N/A</v>
      </c>
      <c r="AE88" s="324">
        <f t="shared" ca="1" si="34"/>
        <v>32.307283629284441</v>
      </c>
      <c r="AG88" s="306">
        <f t="shared" ca="1" si="56"/>
        <v>88.299720680030561</v>
      </c>
      <c r="AH88" s="304">
        <f t="shared" ca="1" si="57"/>
        <v>98.063912638585194</v>
      </c>
    </row>
    <row r="89" spans="1:34" x14ac:dyDescent="0.2">
      <c r="A89" s="347">
        <f t="shared" ca="1" si="35"/>
        <v>0.01</v>
      </c>
      <c r="B89" s="304">
        <f t="shared" ca="1" si="36"/>
        <v>0.85000000000000053</v>
      </c>
      <c r="D89" s="306">
        <f t="shared" ca="1" si="37"/>
        <v>9.4619330849052137</v>
      </c>
      <c r="E89" s="307">
        <f t="shared" ca="1" si="38"/>
        <v>87.633369850395837</v>
      </c>
      <c r="F89" s="304">
        <f t="shared" ca="1" si="39"/>
        <v>88.142700713329006</v>
      </c>
      <c r="G89" s="306">
        <f t="shared" ca="1" si="40"/>
        <v>7.5965374346649925</v>
      </c>
      <c r="H89" s="307">
        <f t="shared" ca="1" si="41"/>
        <v>78.134561358527563</v>
      </c>
      <c r="I89" s="304">
        <f t="shared" ca="1" si="42"/>
        <v>78.502974846089586</v>
      </c>
      <c r="J89" s="306">
        <f t="shared" ca="1" si="43"/>
        <v>3.0773647475778776</v>
      </c>
      <c r="K89" s="307">
        <f t="shared" ca="1" si="44"/>
        <v>33.084247574377194</v>
      </c>
      <c r="L89" s="304">
        <f t="shared" ca="1" si="29"/>
        <v>33.227061431193675</v>
      </c>
      <c r="M89" s="306">
        <f t="shared" ca="1" si="45"/>
        <v>1.4738771554196504</v>
      </c>
      <c r="N89" s="304">
        <f t="shared" ca="1" si="46"/>
        <v>84.446940526293261</v>
      </c>
      <c r="P89" s="310">
        <f t="shared" ca="1" si="47"/>
        <v>3</v>
      </c>
      <c r="Q89" s="304">
        <f t="shared" ca="1" si="48"/>
        <v>757.29</v>
      </c>
      <c r="R89" s="306">
        <f t="shared" ca="1" si="49"/>
        <v>0.38004856755588157</v>
      </c>
      <c r="S89" s="307">
        <f t="shared" ca="1" si="50"/>
        <v>7.5463129357209828</v>
      </c>
      <c r="T89" s="304">
        <f t="shared" ca="1" si="30"/>
        <v>74.029329899422848</v>
      </c>
      <c r="U89" s="311">
        <f t="shared" ca="1" si="31"/>
        <v>0</v>
      </c>
      <c r="V89" s="306">
        <f t="shared" ca="1" si="32"/>
        <v>1.2209538728257963</v>
      </c>
      <c r="W89" s="304">
        <f t="shared" ca="1" si="33"/>
        <v>18.914192500013701</v>
      </c>
      <c r="Y89" s="314" t="str">
        <f t="shared" ca="1" si="51"/>
        <v/>
      </c>
      <c r="Z89" s="315" t="str">
        <f t="shared" ca="1" si="52"/>
        <v/>
      </c>
      <c r="AA89" s="316" t="str">
        <f t="shared" ca="1" si="53"/>
        <v/>
      </c>
      <c r="AC89" s="310" t="e">
        <f t="shared" ca="1" si="54"/>
        <v>#N/A</v>
      </c>
      <c r="AD89" s="323" t="e">
        <f t="shared" ca="1" si="55"/>
        <v>#N/A</v>
      </c>
      <c r="AE89" s="324">
        <f t="shared" ca="1" si="34"/>
        <v>33.084247574377194</v>
      </c>
      <c r="AG89" s="306">
        <f t="shared" ca="1" si="56"/>
        <v>88.137601376440557</v>
      </c>
      <c r="AH89" s="304">
        <f t="shared" ca="1" si="57"/>
        <v>97.901677746115553</v>
      </c>
    </row>
    <row r="90" spans="1:34" x14ac:dyDescent="0.2">
      <c r="A90" s="347">
        <f t="shared" ca="1" si="35"/>
        <v>0.01</v>
      </c>
      <c r="B90" s="304">
        <f t="shared" ca="1" si="36"/>
        <v>0.86000000000000054</v>
      </c>
      <c r="D90" s="306">
        <f t="shared" ca="1" si="37"/>
        <v>9.4579289634844841</v>
      </c>
      <c r="E90" s="307">
        <f t="shared" ca="1" si="38"/>
        <v>87.469995955757838</v>
      </c>
      <c r="F90" s="304">
        <f t="shared" ca="1" si="39"/>
        <v>87.979842082028142</v>
      </c>
      <c r="G90" s="306">
        <f t="shared" ca="1" si="40"/>
        <v>7.6911167242998371</v>
      </c>
      <c r="H90" s="307">
        <f t="shared" ca="1" si="41"/>
        <v>79.009261318085137</v>
      </c>
      <c r="I90" s="304">
        <f t="shared" ca="1" si="42"/>
        <v>79.382722619574267</v>
      </c>
      <c r="J90" s="306">
        <f t="shared" ca="1" si="43"/>
        <v>3.1538030183727019</v>
      </c>
      <c r="K90" s="307">
        <f t="shared" ca="1" si="44"/>
        <v>33.869966687760261</v>
      </c>
      <c r="L90" s="304">
        <f t="shared" ca="1" si="29"/>
        <v>34.016483017923626</v>
      </c>
      <c r="M90" s="306">
        <f t="shared" ca="1" si="45"/>
        <v>1.473757571554555</v>
      </c>
      <c r="N90" s="304">
        <f t="shared" ca="1" si="46"/>
        <v>84.440088875525433</v>
      </c>
      <c r="P90" s="310">
        <f t="shared" ca="1" si="47"/>
        <v>3</v>
      </c>
      <c r="Q90" s="304">
        <f t="shared" ca="1" si="48"/>
        <v>756.1099999999999</v>
      </c>
      <c r="R90" s="306">
        <f t="shared" ca="1" si="49"/>
        <v>0.37945638053411185</v>
      </c>
      <c r="S90" s="307">
        <f t="shared" ca="1" si="50"/>
        <v>7.5425183719156417</v>
      </c>
      <c r="T90" s="304">
        <f t="shared" ca="1" si="30"/>
        <v>73.992105228492449</v>
      </c>
      <c r="U90" s="311">
        <f t="shared" ca="1" si="31"/>
        <v>0</v>
      </c>
      <c r="V90" s="306">
        <f t="shared" ca="1" si="32"/>
        <v>1.2208579436462852</v>
      </c>
      <c r="W90" s="304">
        <f t="shared" ca="1" si="33"/>
        <v>19.338974123073292</v>
      </c>
      <c r="Y90" s="314" t="str">
        <f t="shared" ca="1" si="51"/>
        <v/>
      </c>
      <c r="Z90" s="315" t="str">
        <f t="shared" ca="1" si="52"/>
        <v/>
      </c>
      <c r="AA90" s="316" t="str">
        <f t="shared" ca="1" si="53"/>
        <v/>
      </c>
      <c r="AC90" s="310" t="e">
        <f t="shared" ca="1" si="54"/>
        <v>#N/A</v>
      </c>
      <c r="AD90" s="323" t="e">
        <f t="shared" ca="1" si="55"/>
        <v>#N/A</v>
      </c>
      <c r="AE90" s="324">
        <f t="shared" ca="1" si="34"/>
        <v>33.869966687760261</v>
      </c>
      <c r="AG90" s="306">
        <f t="shared" ca="1" si="56"/>
        <v>87.974720588628088</v>
      </c>
      <c r="AH90" s="304">
        <f t="shared" ca="1" si="57"/>
        <v>97.738682380266312</v>
      </c>
    </row>
    <row r="91" spans="1:34" x14ac:dyDescent="0.2">
      <c r="A91" s="347">
        <f t="shared" ca="1" si="35"/>
        <v>0.01</v>
      </c>
      <c r="B91" s="304">
        <f t="shared" ca="1" si="36"/>
        <v>0.87000000000000055</v>
      </c>
      <c r="D91" s="306">
        <f t="shared" ca="1" si="37"/>
        <v>9.4536966158331133</v>
      </c>
      <c r="E91" s="307">
        <f t="shared" ca="1" si="38"/>
        <v>87.305882272642506</v>
      </c>
      <c r="F91" s="304">
        <f t="shared" ca="1" si="39"/>
        <v>87.816225488851018</v>
      </c>
      <c r="G91" s="306">
        <f t="shared" ca="1" si="40"/>
        <v>7.7856536904581679</v>
      </c>
      <c r="H91" s="307">
        <f t="shared" ca="1" si="41"/>
        <v>79.882320140811558</v>
      </c>
      <c r="I91" s="304">
        <f t="shared" ca="1" si="42"/>
        <v>80.26083400056875</v>
      </c>
      <c r="J91" s="306">
        <f t="shared" ca="1" si="43"/>
        <v>3.2311868704464919</v>
      </c>
      <c r="K91" s="307">
        <f t="shared" ca="1" si="44"/>
        <v>34.664424595054747</v>
      </c>
      <c r="L91" s="304">
        <f t="shared" ca="1" si="29"/>
        <v>34.814693752753051</v>
      </c>
      <c r="M91" s="306">
        <f t="shared" ca="1" si="45"/>
        <v>1.4736391505467801</v>
      </c>
      <c r="N91" s="304">
        <f t="shared" ca="1" si="46"/>
        <v>84.433303851574237</v>
      </c>
      <c r="P91" s="310">
        <f t="shared" ca="1" si="47"/>
        <v>3</v>
      </c>
      <c r="Q91" s="304">
        <f t="shared" ca="1" si="48"/>
        <v>754.93</v>
      </c>
      <c r="R91" s="306">
        <f t="shared" ca="1" si="49"/>
        <v>0.37886419351234224</v>
      </c>
      <c r="S91" s="307">
        <f t="shared" ca="1" si="50"/>
        <v>7.5387297299805178</v>
      </c>
      <c r="T91" s="304">
        <f t="shared" ca="1" si="30"/>
        <v>73.95493865110889</v>
      </c>
      <c r="U91" s="311">
        <f t="shared" ca="1" si="31"/>
        <v>0</v>
      </c>
      <c r="V91" s="306">
        <f t="shared" ca="1" si="32"/>
        <v>1.2207609551895651</v>
      </c>
      <c r="W91" s="304">
        <f t="shared" ca="1" si="33"/>
        <v>19.767615535703641</v>
      </c>
      <c r="Y91" s="314" t="str">
        <f t="shared" ca="1" si="51"/>
        <v/>
      </c>
      <c r="Z91" s="315" t="str">
        <f t="shared" ca="1" si="52"/>
        <v/>
      </c>
      <c r="AA91" s="316" t="str">
        <f t="shared" ca="1" si="53"/>
        <v/>
      </c>
      <c r="AC91" s="310" t="e">
        <f t="shared" ca="1" si="54"/>
        <v>#N/A</v>
      </c>
      <c r="AD91" s="323" t="e">
        <f t="shared" ca="1" si="55"/>
        <v>#N/A</v>
      </c>
      <c r="AE91" s="324">
        <f t="shared" ca="1" si="34"/>
        <v>34.664424595054747</v>
      </c>
      <c r="AG91" s="306">
        <f t="shared" ca="1" si="56"/>
        <v>87.811081822417137</v>
      </c>
      <c r="AH91" s="304">
        <f t="shared" ca="1" si="57"/>
        <v>97.574930024560999</v>
      </c>
    </row>
    <row r="92" spans="1:34" x14ac:dyDescent="0.2">
      <c r="A92" s="347">
        <f t="shared" ca="1" si="35"/>
        <v>0.01</v>
      </c>
      <c r="B92" s="304">
        <f t="shared" ca="1" si="36"/>
        <v>0.88000000000000056</v>
      </c>
      <c r="D92" s="306">
        <f t="shared" ca="1" si="37"/>
        <v>9.4492393208516603</v>
      </c>
      <c r="E92" s="307">
        <f t="shared" ca="1" si="38"/>
        <v>87.141032055344084</v>
      </c>
      <c r="F92" s="304">
        <f t="shared" ca="1" si="39"/>
        <v>87.651854466481396</v>
      </c>
      <c r="G92" s="306">
        <f t="shared" ca="1" si="40"/>
        <v>7.8801460836666841</v>
      </c>
      <c r="H92" s="307">
        <f t="shared" ca="1" si="41"/>
        <v>80.753730461364995</v>
      </c>
      <c r="I92" s="304">
        <f t="shared" ca="1" si="42"/>
        <v>81.137301444691374</v>
      </c>
      <c r="J92" s="306">
        <f t="shared" ca="1" si="43"/>
        <v>3.3095158693171163</v>
      </c>
      <c r="K92" s="307">
        <f t="shared" ca="1" si="44"/>
        <v>35.467604848065633</v>
      </c>
      <c r="L92" s="304">
        <f t="shared" ca="1" si="29"/>
        <v>35.62167723378267</v>
      </c>
      <c r="M92" s="306">
        <f t="shared" ca="1" si="45"/>
        <v>1.4735218662514171</v>
      </c>
      <c r="N92" s="304">
        <f t="shared" ca="1" si="46"/>
        <v>84.426583956446777</v>
      </c>
      <c r="P92" s="310">
        <f t="shared" ca="1" si="47"/>
        <v>3</v>
      </c>
      <c r="Q92" s="304">
        <f t="shared" ca="1" si="48"/>
        <v>753.74999999999989</v>
      </c>
      <c r="R92" s="306">
        <f t="shared" ca="1" si="49"/>
        <v>0.37827200649057252</v>
      </c>
      <c r="S92" s="307">
        <f t="shared" ca="1" si="50"/>
        <v>7.5349470099156122</v>
      </c>
      <c r="T92" s="304">
        <f t="shared" ca="1" si="30"/>
        <v>73.917830167272157</v>
      </c>
      <c r="U92" s="311">
        <f t="shared" ca="1" si="31"/>
        <v>0</v>
      </c>
      <c r="V92" s="306">
        <f t="shared" ca="1" si="32"/>
        <v>1.2206629097163306</v>
      </c>
      <c r="W92" s="304">
        <f t="shared" ca="1" si="33"/>
        <v>20.200084504394034</v>
      </c>
      <c r="Y92" s="314" t="str">
        <f t="shared" ca="1" si="51"/>
        <v/>
      </c>
      <c r="Z92" s="315" t="str">
        <f t="shared" ca="1" si="52"/>
        <v/>
      </c>
      <c r="AA92" s="316" t="str">
        <f t="shared" ca="1" si="53"/>
        <v/>
      </c>
      <c r="AC92" s="310" t="e">
        <f t="shared" ca="1" si="54"/>
        <v>#N/A</v>
      </c>
      <c r="AD92" s="323" t="e">
        <f t="shared" ca="1" si="55"/>
        <v>#N/A</v>
      </c>
      <c r="AE92" s="324">
        <f t="shared" ca="1" si="34"/>
        <v>35.467604848065633</v>
      </c>
      <c r="AG92" s="306">
        <f t="shared" ca="1" si="56"/>
        <v>87.646688607624995</v>
      </c>
      <c r="AH92" s="304">
        <f t="shared" ca="1" si="57"/>
        <v>97.410424187245411</v>
      </c>
    </row>
    <row r="93" spans="1:34" x14ac:dyDescent="0.2">
      <c r="A93" s="347">
        <f t="shared" ca="1" si="35"/>
        <v>0.01</v>
      </c>
      <c r="B93" s="304">
        <f t="shared" ca="1" si="36"/>
        <v>0.89000000000000057</v>
      </c>
      <c r="D93" s="306">
        <f t="shared" ca="1" si="37"/>
        <v>9.444560261265682</v>
      </c>
      <c r="E93" s="307">
        <f t="shared" ca="1" si="38"/>
        <v>86.975448590248263</v>
      </c>
      <c r="F93" s="304">
        <f t="shared" ca="1" si="39"/>
        <v>87.486732571308195</v>
      </c>
      <c r="G93" s="306">
        <f t="shared" ca="1" si="40"/>
        <v>7.9745916862793411</v>
      </c>
      <c r="H93" s="307">
        <f t="shared" ca="1" si="41"/>
        <v>81.623484947267471</v>
      </c>
      <c r="I93" s="304">
        <f t="shared" ca="1" si="42"/>
        <v>82.012117443092976</v>
      </c>
      <c r="J93" s="306">
        <f t="shared" ca="1" si="43"/>
        <v>3.3887895581668466</v>
      </c>
      <c r="K93" s="307">
        <f t="shared" ca="1" si="44"/>
        <v>36.279490925108796</v>
      </c>
      <c r="L93" s="304">
        <f t="shared" ca="1" si="29"/>
        <v>36.437416983844948</v>
      </c>
      <c r="M93" s="306">
        <f t="shared" ca="1" si="45"/>
        <v>1.4734056933883422</v>
      </c>
      <c r="N93" s="304">
        <f t="shared" ca="1" si="46"/>
        <v>84.419927741698629</v>
      </c>
      <c r="P93" s="310">
        <f t="shared" ca="1" si="47"/>
        <v>3</v>
      </c>
      <c r="Q93" s="304">
        <f t="shared" ca="1" si="48"/>
        <v>752.56999999999994</v>
      </c>
      <c r="R93" s="306">
        <f t="shared" ca="1" si="49"/>
        <v>0.37767981946880291</v>
      </c>
      <c r="S93" s="307">
        <f t="shared" ca="1" si="50"/>
        <v>7.5311702117209238</v>
      </c>
      <c r="T93" s="304">
        <f t="shared" ca="1" si="30"/>
        <v>73.880779776982266</v>
      </c>
      <c r="U93" s="311">
        <f t="shared" ca="1" si="31"/>
        <v>0</v>
      </c>
      <c r="V93" s="306">
        <f t="shared" ca="1" si="32"/>
        <v>1.2205638094983267</v>
      </c>
      <c r="W93" s="304">
        <f t="shared" ca="1" si="33"/>
        <v>20.636348693520699</v>
      </c>
      <c r="Y93" s="314" t="str">
        <f t="shared" ca="1" si="51"/>
        <v/>
      </c>
      <c r="Z93" s="315" t="str">
        <f t="shared" ca="1" si="52"/>
        <v/>
      </c>
      <c r="AA93" s="316" t="str">
        <f t="shared" ca="1" si="53"/>
        <v/>
      </c>
      <c r="AC93" s="310" t="e">
        <f t="shared" ca="1" si="54"/>
        <v>#N/A</v>
      </c>
      <c r="AD93" s="323" t="e">
        <f t="shared" ca="1" si="55"/>
        <v>#N/A</v>
      </c>
      <c r="AE93" s="324">
        <f t="shared" ca="1" si="34"/>
        <v>36.279490925108796</v>
      </c>
      <c r="AG93" s="306">
        <f t="shared" ca="1" si="56"/>
        <v>87.481544497834548</v>
      </c>
      <c r="AH93" s="304">
        <f t="shared" ca="1" si="57"/>
        <v>97.245168401027868</v>
      </c>
    </row>
    <row r="94" spans="1:34" x14ac:dyDescent="0.2">
      <c r="A94" s="347">
        <f t="shared" ca="1" si="35"/>
        <v>0.01</v>
      </c>
      <c r="B94" s="304">
        <f t="shared" ca="1" si="36"/>
        <v>0.90000000000000058</v>
      </c>
      <c r="D94" s="306">
        <f t="shared" ca="1" si="37"/>
        <v>9.4396625280233106</v>
      </c>
      <c r="E94" s="307">
        <f t="shared" ca="1" si="38"/>
        <v>86.809135195231804</v>
      </c>
      <c r="F94" s="304">
        <f t="shared" ca="1" si="39"/>
        <v>87.320863383197263</v>
      </c>
      <c r="G94" s="306">
        <f t="shared" ca="1" si="40"/>
        <v>8.0689883115595737</v>
      </c>
      <c r="H94" s="307">
        <f t="shared" ca="1" si="41"/>
        <v>82.491576299219787</v>
      </c>
      <c r="I94" s="304">
        <f t="shared" ca="1" si="42"/>
        <v>82.885274522692413</v>
      </c>
      <c r="J94" s="306">
        <f t="shared" ca="1" si="43"/>
        <v>3.4690074581560411</v>
      </c>
      <c r="K94" s="307">
        <f t="shared" ca="1" si="44"/>
        <v>37.100066231341231</v>
      </c>
      <c r="L94" s="304">
        <f t="shared" ca="1" si="29"/>
        <v>37.261896450860476</v>
      </c>
      <c r="M94" s="306">
        <f t="shared" ca="1" si="45"/>
        <v>1.4732906075041261</v>
      </c>
      <c r="N94" s="304">
        <f t="shared" ca="1" si="46"/>
        <v>84.413333806251515</v>
      </c>
      <c r="P94" s="310">
        <f t="shared" ca="1" si="47"/>
        <v>3</v>
      </c>
      <c r="Q94" s="304">
        <f t="shared" ca="1" si="48"/>
        <v>751.38999999999987</v>
      </c>
      <c r="R94" s="306">
        <f t="shared" ca="1" si="49"/>
        <v>0.37708763244703325</v>
      </c>
      <c r="S94" s="307">
        <f t="shared" ca="1" si="50"/>
        <v>7.5273993353964537</v>
      </c>
      <c r="T94" s="304">
        <f t="shared" ca="1" si="30"/>
        <v>73.843787480239214</v>
      </c>
      <c r="U94" s="311">
        <f t="shared" ca="1" si="31"/>
        <v>0</v>
      </c>
      <c r="V94" s="306">
        <f t="shared" ca="1" si="32"/>
        <v>1.2204636568182852</v>
      </c>
      <c r="W94" s="304">
        <f t="shared" ca="1" si="33"/>
        <v>21.076375667572464</v>
      </c>
      <c r="Y94" s="314" t="str">
        <f t="shared" ca="1" si="51"/>
        <v/>
      </c>
      <c r="Z94" s="315" t="str">
        <f t="shared" ca="1" si="52"/>
        <v/>
      </c>
      <c r="AA94" s="316" t="str">
        <f t="shared" ca="1" si="53"/>
        <v/>
      </c>
      <c r="AC94" s="310" t="e">
        <f t="shared" ca="1" si="54"/>
        <v>#N/A</v>
      </c>
      <c r="AD94" s="323" t="e">
        <f t="shared" ca="1" si="55"/>
        <v>#N/A</v>
      </c>
      <c r="AE94" s="324">
        <f t="shared" ca="1" si="34"/>
        <v>37.100066231341231</v>
      </c>
      <c r="AG94" s="306">
        <f t="shared" ca="1" si="56"/>
        <v>87.31565307016298</v>
      </c>
      <c r="AH94" s="304">
        <f t="shared" ca="1" si="57"/>
        <v>97.079166222817605</v>
      </c>
    </row>
    <row r="95" spans="1:34" x14ac:dyDescent="0.2">
      <c r="A95" s="347">
        <f t="shared" ca="1" si="35"/>
        <v>0.01</v>
      </c>
      <c r="B95" s="304">
        <f t="shared" ca="1" si="36"/>
        <v>0.91000000000000059</v>
      </c>
      <c r="D95" s="306">
        <f t="shared" ca="1" si="37"/>
        <v>9.4345491244485125</v>
      </c>
      <c r="E95" s="307">
        <f t="shared" ca="1" si="38"/>
        <v>86.642095219079295</v>
      </c>
      <c r="F95" s="304">
        <f t="shared" ca="1" si="39"/>
        <v>87.154250505260137</v>
      </c>
      <c r="G95" s="306">
        <f t="shared" ca="1" si="40"/>
        <v>8.1633338028040594</v>
      </c>
      <c r="H95" s="307">
        <f t="shared" ca="1" si="41"/>
        <v>83.35799725141058</v>
      </c>
      <c r="I95" s="304">
        <f t="shared" ca="1" si="42"/>
        <v>83.756765246409657</v>
      </c>
      <c r="J95" s="306">
        <f t="shared" ca="1" si="43"/>
        <v>3.5501690687278593</v>
      </c>
      <c r="K95" s="307">
        <f t="shared" ca="1" si="44"/>
        <v>37.929314099094384</v>
      </c>
      <c r="L95" s="304">
        <f t="shared" ca="1" si="29"/>
        <v>38.09509900819674</v>
      </c>
      <c r="M95" s="306">
        <f t="shared" ca="1" si="45"/>
        <v>1.4731765849360299</v>
      </c>
      <c r="N95" s="304">
        <f t="shared" ca="1" si="46"/>
        <v>84.406800794330366</v>
      </c>
      <c r="P95" s="310">
        <f t="shared" ca="1" si="47"/>
        <v>3</v>
      </c>
      <c r="Q95" s="304">
        <f t="shared" ca="1" si="48"/>
        <v>750.20999999999992</v>
      </c>
      <c r="R95" s="306">
        <f t="shared" ca="1" si="49"/>
        <v>0.37649544542526359</v>
      </c>
      <c r="S95" s="307">
        <f t="shared" ca="1" si="50"/>
        <v>7.5236343809422008</v>
      </c>
      <c r="T95" s="304">
        <f t="shared" ca="1" si="30"/>
        <v>73.80685327704299</v>
      </c>
      <c r="U95" s="311">
        <f t="shared" ca="1" si="31"/>
        <v>0</v>
      </c>
      <c r="V95" s="306">
        <f t="shared" ca="1" si="32"/>
        <v>1.2203624539698621</v>
      </c>
      <c r="W95" s="304">
        <f t="shared" ca="1" si="33"/>
        <v>21.52013289338036</v>
      </c>
      <c r="Y95" s="314" t="str">
        <f t="shared" ca="1" si="51"/>
        <v/>
      </c>
      <c r="Z95" s="315" t="str">
        <f t="shared" ca="1" si="52"/>
        <v/>
      </c>
      <c r="AA95" s="316" t="str">
        <f t="shared" ca="1" si="53"/>
        <v/>
      </c>
      <c r="AC95" s="310" t="e">
        <f t="shared" ca="1" si="54"/>
        <v>#N/A</v>
      </c>
      <c r="AD95" s="323" t="e">
        <f t="shared" ca="1" si="55"/>
        <v>#N/A</v>
      </c>
      <c r="AE95" s="324">
        <f t="shared" ca="1" si="34"/>
        <v>37.929314099094384</v>
      </c>
      <c r="AG95" s="306">
        <f t="shared" ca="1" si="56"/>
        <v>87.149017925027607</v>
      </c>
      <c r="AH95" s="304">
        <f t="shared" ca="1" si="57"/>
        <v>96.91242123346197</v>
      </c>
    </row>
    <row r="96" spans="1:34" x14ac:dyDescent="0.2">
      <c r="A96" s="347">
        <f t="shared" ca="1" si="35"/>
        <v>0.01</v>
      </c>
      <c r="B96" s="304">
        <f t="shared" ca="1" si="36"/>
        <v>0.9200000000000006</v>
      </c>
      <c r="D96" s="306">
        <f t="shared" ca="1" si="37"/>
        <v>9.4292229701657142</v>
      </c>
      <c r="E96" s="307">
        <f t="shared" ca="1" si="38"/>
        <v>86.474332040914874</v>
      </c>
      <c r="F96" s="304">
        <f t="shared" ca="1" si="39"/>
        <v>86.986897563618726</v>
      </c>
      <c r="G96" s="306">
        <f t="shared" ca="1" si="40"/>
        <v>8.2576260325057174</v>
      </c>
      <c r="H96" s="307">
        <f t="shared" ca="1" si="41"/>
        <v>84.222740571819728</v>
      </c>
      <c r="I96" s="304">
        <f t="shared" ca="1" si="42"/>
        <v>84.626582213396546</v>
      </c>
      <c r="J96" s="306">
        <f t="shared" ca="1" si="43"/>
        <v>3.632273867904408</v>
      </c>
      <c r="K96" s="307">
        <f t="shared" ca="1" si="44"/>
        <v>38.767217788210537</v>
      </c>
      <c r="L96" s="304">
        <f t="shared" ca="1" si="29"/>
        <v>38.937007955029216</v>
      </c>
      <c r="M96" s="306">
        <f t="shared" ca="1" si="45"/>
        <v>1.4730636027779482</v>
      </c>
      <c r="N96" s="304">
        <f t="shared" ca="1" si="46"/>
        <v>84.400327393512001</v>
      </c>
      <c r="P96" s="310">
        <f t="shared" ca="1" si="47"/>
        <v>3</v>
      </c>
      <c r="Q96" s="304">
        <f t="shared" ca="1" si="48"/>
        <v>749.03</v>
      </c>
      <c r="R96" s="306">
        <f t="shared" ca="1" si="49"/>
        <v>0.37590325840349398</v>
      </c>
      <c r="S96" s="307">
        <f t="shared" ca="1" si="50"/>
        <v>7.5198753483581662</v>
      </c>
      <c r="T96" s="304">
        <f t="shared" ca="1" si="30"/>
        <v>73.76997716739362</v>
      </c>
      <c r="U96" s="311">
        <f t="shared" ca="1" si="31"/>
        <v>0</v>
      </c>
      <c r="V96" s="306">
        <f t="shared" ca="1" si="32"/>
        <v>1.2202602032575733</v>
      </c>
      <c r="W96" s="304">
        <f t="shared" ca="1" si="33"/>
        <v>21.96758774235095</v>
      </c>
      <c r="Y96" s="314" t="str">
        <f t="shared" ca="1" si="51"/>
        <v/>
      </c>
      <c r="Z96" s="315" t="str">
        <f t="shared" ca="1" si="52"/>
        <v/>
      </c>
      <c r="AA96" s="316" t="str">
        <f t="shared" ca="1" si="53"/>
        <v/>
      </c>
      <c r="AC96" s="310" t="e">
        <f t="shared" ca="1" si="54"/>
        <v>#N/A</v>
      </c>
      <c r="AD96" s="323" t="e">
        <f t="shared" ca="1" si="55"/>
        <v>#N/A</v>
      </c>
      <c r="AE96" s="324">
        <f t="shared" ca="1" si="34"/>
        <v>38.767217788210537</v>
      </c>
      <c r="AG96" s="306">
        <f t="shared" ca="1" si="56"/>
        <v>86.981642685907957</v>
      </c>
      <c r="AH96" s="304">
        <f t="shared" ca="1" si="57"/>
        <v>96.744937037481435</v>
      </c>
    </row>
    <row r="97" spans="1:34" x14ac:dyDescent="0.2">
      <c r="A97" s="347">
        <f t="shared" ca="1" si="35"/>
        <v>0.01</v>
      </c>
      <c r="B97" s="304">
        <f t="shared" ca="1" si="36"/>
        <v>0.9300000000000006</v>
      </c>
      <c r="D97" s="306">
        <f t="shared" ca="1" si="37"/>
        <v>9.4236869048107028</v>
      </c>
      <c r="E97" s="307">
        <f t="shared" ca="1" si="38"/>
        <v>86.305849069649312</v>
      </c>
      <c r="F97" s="304">
        <f t="shared" ca="1" si="39"/>
        <v>86.818808207167805</v>
      </c>
      <c r="G97" s="306">
        <f t="shared" ca="1" si="40"/>
        <v>8.3518629015538242</v>
      </c>
      <c r="H97" s="307">
        <f t="shared" ca="1" si="41"/>
        <v>85.085799062516216</v>
      </c>
      <c r="I97" s="304">
        <f t="shared" ca="1" si="42"/>
        <v>85.494718059265139</v>
      </c>
      <c r="J97" s="306">
        <f t="shared" ca="1" si="43"/>
        <v>3.7153213125747055</v>
      </c>
      <c r="K97" s="307">
        <f t="shared" ca="1" si="44"/>
        <v>39.613760486382219</v>
      </c>
      <c r="L97" s="304">
        <f t="shared" ca="1" si="29"/>
        <v>39.787606516704784</v>
      </c>
      <c r="M97" s="306">
        <f t="shared" ca="1" si="45"/>
        <v>1.4729516388481745</v>
      </c>
      <c r="N97" s="304">
        <f t="shared" ca="1" si="46"/>
        <v>84.393912332878273</v>
      </c>
      <c r="P97" s="310">
        <f t="shared" ca="1" si="47"/>
        <v>3</v>
      </c>
      <c r="Q97" s="304">
        <f t="shared" ca="1" si="48"/>
        <v>747.84999999999991</v>
      </c>
      <c r="R97" s="306">
        <f t="shared" ca="1" si="49"/>
        <v>0.37531107138172431</v>
      </c>
      <c r="S97" s="307">
        <f t="shared" ca="1" si="50"/>
        <v>7.5161222376443488</v>
      </c>
      <c r="T97" s="304">
        <f t="shared" ca="1" si="30"/>
        <v>73.733159151291062</v>
      </c>
      <c r="U97" s="311">
        <f t="shared" ca="1" si="31"/>
        <v>0</v>
      </c>
      <c r="V97" s="306">
        <f t="shared" ca="1" si="32"/>
        <v>1.2201569069967304</v>
      </c>
      <c r="W97" s="304">
        <f t="shared" ca="1" si="33"/>
        <v>22.418707492703035</v>
      </c>
      <c r="Y97" s="314" t="str">
        <f t="shared" ca="1" si="51"/>
        <v/>
      </c>
      <c r="Z97" s="315" t="str">
        <f t="shared" ca="1" si="52"/>
        <v/>
      </c>
      <c r="AA97" s="316" t="str">
        <f t="shared" ca="1" si="53"/>
        <v/>
      </c>
      <c r="AC97" s="310" t="e">
        <f t="shared" ca="1" si="54"/>
        <v>#N/A</v>
      </c>
      <c r="AD97" s="323" t="e">
        <f t="shared" ca="1" si="55"/>
        <v>#N/A</v>
      </c>
      <c r="AE97" s="324">
        <f t="shared" ca="1" si="34"/>
        <v>39.613760486382219</v>
      </c>
      <c r="AG97" s="306">
        <f t="shared" ca="1" si="56"/>
        <v>86.813530999105495</v>
      </c>
      <c r="AH97" s="304">
        <f t="shared" ca="1" si="57"/>
        <v>96.576717262803598</v>
      </c>
    </row>
    <row r="98" spans="1:34" x14ac:dyDescent="0.2">
      <c r="A98" s="347">
        <f t="shared" ca="1" si="35"/>
        <v>0.01</v>
      </c>
      <c r="B98" s="304">
        <f t="shared" ca="1" si="36"/>
        <v>0.94000000000000061</v>
      </c>
      <c r="D98" s="306">
        <f t="shared" ca="1" si="37"/>
        <v>9.417943691541776</v>
      </c>
      <c r="E98" s="307">
        <f t="shared" ca="1" si="38"/>
        <v>86.136649743440074</v>
      </c>
      <c r="F98" s="304">
        <f t="shared" ca="1" si="39"/>
        <v>86.649986107333717</v>
      </c>
      <c r="G98" s="306">
        <f t="shared" ca="1" si="40"/>
        <v>8.4460423384692422</v>
      </c>
      <c r="H98" s="307">
        <f t="shared" ca="1" si="41"/>
        <v>85.947165559950619</v>
      </c>
      <c r="I98" s="304">
        <f t="shared" ca="1" si="42"/>
        <v>86.361165456313614</v>
      </c>
      <c r="J98" s="306">
        <f t="shared" ca="1" si="43"/>
        <v>3.7993108387748209</v>
      </c>
      <c r="K98" s="307">
        <f t="shared" ca="1" si="44"/>
        <v>40.468925309494551</v>
      </c>
      <c r="L98" s="304">
        <f t="shared" ca="1" si="29"/>
        <v>40.646877845107369</v>
      </c>
      <c r="M98" s="306">
        <f t="shared" ca="1" si="45"/>
        <v>1.4728406716588731</v>
      </c>
      <c r="N98" s="304">
        <f t="shared" ca="1" si="46"/>
        <v>84.387554381266867</v>
      </c>
      <c r="P98" s="310">
        <f t="shared" ca="1" si="47"/>
        <v>3</v>
      </c>
      <c r="Q98" s="304">
        <f t="shared" ca="1" si="48"/>
        <v>746.67</v>
      </c>
      <c r="R98" s="306">
        <f t="shared" ca="1" si="49"/>
        <v>0.37471888435995465</v>
      </c>
      <c r="S98" s="307">
        <f t="shared" ca="1" si="50"/>
        <v>7.5123750488007497</v>
      </c>
      <c r="T98" s="304">
        <f t="shared" ca="1" si="30"/>
        <v>73.696399228735359</v>
      </c>
      <c r="U98" s="311">
        <f t="shared" ca="1" si="31"/>
        <v>0</v>
      </c>
      <c r="V98" s="306">
        <f t="shared" ca="1" si="32"/>
        <v>1.2200525675133755</v>
      </c>
      <c r="W98" s="304">
        <f t="shared" ca="1" si="33"/>
        <v>22.87345933170754</v>
      </c>
      <c r="Y98" s="314" t="str">
        <f t="shared" ca="1" si="51"/>
        <v/>
      </c>
      <c r="Z98" s="315" t="str">
        <f t="shared" ca="1" si="52"/>
        <v/>
      </c>
      <c r="AA98" s="316" t="str">
        <f t="shared" ca="1" si="53"/>
        <v/>
      </c>
      <c r="AC98" s="310" t="e">
        <f t="shared" ca="1" si="54"/>
        <v>#N/A</v>
      </c>
      <c r="AD98" s="323" t="e">
        <f t="shared" ca="1" si="55"/>
        <v>#N/A</v>
      </c>
      <c r="AE98" s="324">
        <f t="shared" ca="1" si="34"/>
        <v>40.468925309494551</v>
      </c>
      <c r="AG98" s="306">
        <f t="shared" ca="1" si="56"/>
        <v>86.644686533500021</v>
      </c>
      <c r="AH98" s="304">
        <f t="shared" ca="1" si="57"/>
        <v>96.407765560495278</v>
      </c>
    </row>
    <row r="99" spans="1:34" x14ac:dyDescent="0.2">
      <c r="A99" s="347">
        <f t="shared" ca="1" si="35"/>
        <v>0.01</v>
      </c>
      <c r="B99" s="304">
        <f t="shared" ca="1" si="36"/>
        <v>0.95000000000000062</v>
      </c>
      <c r="D99" s="306">
        <f t="shared" ca="1" si="37"/>
        <v>9.4119960203635014</v>
      </c>
      <c r="E99" s="307">
        <f t="shared" ca="1" si="38"/>
        <v>85.966737529164348</v>
      </c>
      <c r="F99" s="304">
        <f t="shared" ca="1" si="39"/>
        <v>86.480434957830624</v>
      </c>
      <c r="G99" s="306">
        <f t="shared" ca="1" si="40"/>
        <v>8.5401622986728771</v>
      </c>
      <c r="H99" s="307">
        <f t="shared" ca="1" si="41"/>
        <v>86.806832935242269</v>
      </c>
      <c r="I99" s="304">
        <f t="shared" ca="1" si="42"/>
        <v>87.225917113749716</v>
      </c>
      <c r="J99" s="306">
        <f t="shared" ca="1" si="43"/>
        <v>3.8842418619605317</v>
      </c>
      <c r="K99" s="307">
        <f t="shared" ca="1" si="44"/>
        <v>41.332695301970517</v>
      </c>
      <c r="L99" s="304">
        <f t="shared" ca="1" si="29"/>
        <v>41.51480501902595</v>
      </c>
      <c r="M99" s="306">
        <f t="shared" ca="1" si="45"/>
        <v>1.4727306803871505</v>
      </c>
      <c r="N99" s="304">
        <f t="shared" ca="1" si="46"/>
        <v>84.381252345613888</v>
      </c>
      <c r="P99" s="310">
        <f t="shared" ca="1" si="47"/>
        <v>3</v>
      </c>
      <c r="Q99" s="304">
        <f t="shared" ca="1" si="48"/>
        <v>745.4899999999999</v>
      </c>
      <c r="R99" s="306">
        <f t="shared" ca="1" si="49"/>
        <v>0.37412669733818499</v>
      </c>
      <c r="S99" s="307">
        <f t="shared" ca="1" si="50"/>
        <v>7.5086337818273678</v>
      </c>
      <c r="T99" s="304">
        <f t="shared" ca="1" si="30"/>
        <v>73.659697399726483</v>
      </c>
      <c r="U99" s="311">
        <f t="shared" ca="1" si="31"/>
        <v>0</v>
      </c>
      <c r="V99" s="306">
        <f t="shared" ca="1" si="32"/>
        <v>1.2199471871442178</v>
      </c>
      <c r="W99" s="304">
        <f t="shared" ca="1" si="33"/>
        <v>23.331810357930294</v>
      </c>
      <c r="Y99" s="314" t="str">
        <f t="shared" ca="1" si="51"/>
        <v/>
      </c>
      <c r="Z99" s="315" t="str">
        <f t="shared" ca="1" si="52"/>
        <v/>
      </c>
      <c r="AA99" s="316" t="str">
        <f t="shared" ca="1" si="53"/>
        <v/>
      </c>
      <c r="AC99" s="310" t="e">
        <f t="shared" ca="1" si="54"/>
        <v>#N/A</v>
      </c>
      <c r="AD99" s="323" t="e">
        <f t="shared" ca="1" si="55"/>
        <v>#N/A</v>
      </c>
      <c r="AE99" s="324">
        <f t="shared" ca="1" si="34"/>
        <v>41.332695301970517</v>
      </c>
      <c r="AG99" s="306">
        <f t="shared" ca="1" si="56"/>
        <v>86.475112980303479</v>
      </c>
      <c r="AH99" s="304">
        <f t="shared" ca="1" si="57"/>
        <v>96.238085604493278</v>
      </c>
    </row>
    <row r="100" spans="1:34" x14ac:dyDescent="0.2">
      <c r="A100" s="347">
        <f t="shared" ca="1" si="35"/>
        <v>0.01</v>
      </c>
      <c r="B100" s="304">
        <f t="shared" ca="1" si="36"/>
        <v>0.96000000000000063</v>
      </c>
      <c r="D100" s="306">
        <f t="shared" ca="1" si="37"/>
        <v>9.4058465112751453</v>
      </c>
      <c r="E100" s="307">
        <f t="shared" ca="1" si="38"/>
        <v>85.796115921903919</v>
      </c>
      <c r="F100" s="304">
        <f t="shared" ca="1" si="39"/>
        <v>86.31015847441391</v>
      </c>
      <c r="G100" s="306">
        <f t="shared" ca="1" si="40"/>
        <v>8.6342207637856294</v>
      </c>
      <c r="H100" s="307">
        <f t="shared" ca="1" si="41"/>
        <v>87.664794094461314</v>
      </c>
      <c r="I100" s="304">
        <f t="shared" ca="1" si="42"/>
        <v>88.088965777911625</v>
      </c>
      <c r="J100" s="306">
        <f t="shared" ca="1" si="43"/>
        <v>3.9701137772728243</v>
      </c>
      <c r="K100" s="307">
        <f t="shared" ca="1" si="44"/>
        <v>42.205053437119034</v>
      </c>
      <c r="L100" s="304">
        <f t="shared" ca="1" si="29"/>
        <v>42.391371044524668</v>
      </c>
      <c r="M100" s="306">
        <f t="shared" ca="1" si="45"/>
        <v>1.4726216448476244</v>
      </c>
      <c r="N100" s="304">
        <f t="shared" ca="1" si="46"/>
        <v>84.375005069382112</v>
      </c>
      <c r="P100" s="310">
        <f t="shared" ca="1" si="47"/>
        <v>3</v>
      </c>
      <c r="Q100" s="304">
        <f t="shared" ca="1" si="48"/>
        <v>744.31</v>
      </c>
      <c r="R100" s="306">
        <f t="shared" ca="1" si="49"/>
        <v>0.37353451031641538</v>
      </c>
      <c r="S100" s="307">
        <f t="shared" ca="1" si="50"/>
        <v>7.5048984367242033</v>
      </c>
      <c r="T100" s="304">
        <f t="shared" ca="1" si="30"/>
        <v>73.623053664264432</v>
      </c>
      <c r="U100" s="311">
        <f t="shared" ca="1" si="31"/>
        <v>0</v>
      </c>
      <c r="V100" s="306">
        <f t="shared" ca="1" si="32"/>
        <v>1.2198407682365664</v>
      </c>
      <c r="W100" s="304">
        <f t="shared" ca="1" si="33"/>
        <v>23.793727583477342</v>
      </c>
      <c r="Y100" s="314" t="str">
        <f t="shared" ca="1" si="51"/>
        <v/>
      </c>
      <c r="Z100" s="315" t="str">
        <f t="shared" ca="1" si="52"/>
        <v/>
      </c>
      <c r="AA100" s="316" t="str">
        <f t="shared" ca="1" si="53"/>
        <v/>
      </c>
      <c r="AC100" s="310" t="e">
        <f t="shared" ca="1" si="54"/>
        <v>#N/A</v>
      </c>
      <c r="AD100" s="323" t="e">
        <f t="shared" ca="1" si="55"/>
        <v>#N/A</v>
      </c>
      <c r="AE100" s="324">
        <f t="shared" ca="1" si="34"/>
        <v>42.205053437119034</v>
      </c>
      <c r="AG100" s="306">
        <f t="shared" ca="1" si="56"/>
        <v>86.304814052811167</v>
      </c>
      <c r="AH100" s="304">
        <f t="shared" ca="1" si="57"/>
        <v>96.067681091333711</v>
      </c>
    </row>
    <row r="101" spans="1:34" x14ac:dyDescent="0.2">
      <c r="A101" s="347">
        <f t="shared" ca="1" si="35"/>
        <v>0.01</v>
      </c>
      <c r="B101" s="304">
        <f t="shared" ca="1" si="36"/>
        <v>0.97000000000000064</v>
      </c>
      <c r="D101" s="306">
        <f t="shared" ca="1" si="37"/>
        <v>9.3994977172545635</v>
      </c>
      <c r="E101" s="307">
        <f t="shared" ca="1" si="38"/>
        <v>85.624788444440824</v>
      </c>
      <c r="F101" s="304">
        <f t="shared" ca="1" si="39"/>
        <v>86.139160394630736</v>
      </c>
      <c r="G101" s="306">
        <f t="shared" ca="1" si="40"/>
        <v>8.7282157409581753</v>
      </c>
      <c r="H101" s="307">
        <f t="shared" ca="1" si="41"/>
        <v>88.521041978905728</v>
      </c>
      <c r="I101" s="304">
        <f t="shared" ca="1" si="42"/>
        <v>88.950304232486474</v>
      </c>
      <c r="J101" s="306">
        <f t="shared" ca="1" si="43"/>
        <v>4.0569259597965432</v>
      </c>
      <c r="K101" s="307">
        <f t="shared" ca="1" si="44"/>
        <v>43.085982617485868</v>
      </c>
      <c r="L101" s="304">
        <f t="shared" ca="1" si="29"/>
        <v>43.276558855315258</v>
      </c>
      <c r="M101" s="306">
        <f t="shared" ca="1" si="45"/>
        <v>1.4725135454664005</v>
      </c>
      <c r="N101" s="304">
        <f t="shared" ca="1" si="46"/>
        <v>84.36881143107</v>
      </c>
      <c r="P101" s="310">
        <f t="shared" ca="1" si="47"/>
        <v>3</v>
      </c>
      <c r="Q101" s="304">
        <f t="shared" ca="1" si="48"/>
        <v>743.12999999999988</v>
      </c>
      <c r="R101" s="306">
        <f t="shared" ca="1" si="49"/>
        <v>0.37294232329464566</v>
      </c>
      <c r="S101" s="307">
        <f t="shared" ca="1" si="50"/>
        <v>7.501169013491257</v>
      </c>
      <c r="T101" s="304">
        <f t="shared" ca="1" si="30"/>
        <v>73.586468022349237</v>
      </c>
      <c r="U101" s="311">
        <f t="shared" ca="1" si="31"/>
        <v>0</v>
      </c>
      <c r="V101" s="306">
        <f t="shared" ca="1" si="32"/>
        <v>1.2197333131482653</v>
      </c>
      <c r="W101" s="304">
        <f t="shared" ca="1" si="33"/>
        <v>24.259177936242729</v>
      </c>
      <c r="Y101" s="314" t="str">
        <f t="shared" ca="1" si="51"/>
        <v/>
      </c>
      <c r="Z101" s="315" t="str">
        <f t="shared" ca="1" si="52"/>
        <v/>
      </c>
      <c r="AA101" s="316" t="str">
        <f t="shared" ca="1" si="53"/>
        <v/>
      </c>
      <c r="AC101" s="310" t="e">
        <f t="shared" ca="1" si="54"/>
        <v>#N/A</v>
      </c>
      <c r="AD101" s="323" t="e">
        <f t="shared" ca="1" si="55"/>
        <v>#N/A</v>
      </c>
      <c r="AE101" s="324">
        <f t="shared" ca="1" si="34"/>
        <v>43.085982617485868</v>
      </c>
      <c r="AG101" s="306">
        <f t="shared" ca="1" si="56"/>
        <v>86.133793486150168</v>
      </c>
      <c r="AH101" s="304">
        <f t="shared" ca="1" si="57"/>
        <v>95.896555739879673</v>
      </c>
    </row>
    <row r="102" spans="1:34" x14ac:dyDescent="0.2">
      <c r="A102" s="347">
        <f t="shared" ca="1" si="35"/>
        <v>0.01</v>
      </c>
      <c r="B102" s="304">
        <f t="shared" ca="1" si="36"/>
        <v>0.98000000000000065</v>
      </c>
      <c r="D102" s="306">
        <f t="shared" ca="1" si="37"/>
        <v>9.3929521270877085</v>
      </c>
      <c r="E102" s="307">
        <f t="shared" ca="1" si="38"/>
        <v>85.452758646763755</v>
      </c>
      <c r="F102" s="304">
        <f t="shared" ca="1" si="39"/>
        <v>85.967444477568478</v>
      </c>
      <c r="G102" s="306">
        <f t="shared" ca="1" si="40"/>
        <v>8.8221452622290517</v>
      </c>
      <c r="H102" s="307">
        <f t="shared" ca="1" si="41"/>
        <v>89.375569565373368</v>
      </c>
      <c r="I102" s="304">
        <f t="shared" ca="1" si="42"/>
        <v>89.809925298726114</v>
      </c>
      <c r="J102" s="306">
        <f t="shared" ca="1" si="43"/>
        <v>4.1446777648124797</v>
      </c>
      <c r="K102" s="307">
        <f t="shared" ca="1" si="44"/>
        <v>43.975465675207261</v>
      </c>
      <c r="L102" s="304">
        <f t="shared" ca="1" si="29"/>
        <v>44.170351313131562</v>
      </c>
      <c r="M102" s="306">
        <f t="shared" ca="1" si="45"/>
        <v>1.4724063632563686</v>
      </c>
      <c r="N102" s="304">
        <f t="shared" ca="1" si="46"/>
        <v>84.362670342796292</v>
      </c>
      <c r="P102" s="310">
        <f t="shared" ca="1" si="47"/>
        <v>3</v>
      </c>
      <c r="Q102" s="304">
        <f t="shared" ca="1" si="48"/>
        <v>741.94999999999993</v>
      </c>
      <c r="R102" s="306">
        <f t="shared" ca="1" si="49"/>
        <v>0.37235013627287605</v>
      </c>
      <c r="S102" s="307">
        <f t="shared" ca="1" si="50"/>
        <v>7.4974455121285279</v>
      </c>
      <c r="T102" s="304">
        <f t="shared" ca="1" si="30"/>
        <v>73.549940473980868</v>
      </c>
      <c r="U102" s="311">
        <f t="shared" ca="1" si="31"/>
        <v>0</v>
      </c>
      <c r="V102" s="306">
        <f t="shared" ca="1" si="32"/>
        <v>1.2196248242476269</v>
      </c>
      <c r="W102" s="304">
        <f t="shared" ca="1" si="33"/>
        <v>24.728128262158222</v>
      </c>
      <c r="Y102" s="314" t="str">
        <f t="shared" ca="1" si="51"/>
        <v/>
      </c>
      <c r="Z102" s="315" t="str">
        <f t="shared" ca="1" si="52"/>
        <v/>
      </c>
      <c r="AA102" s="316" t="str">
        <f t="shared" ca="1" si="53"/>
        <v/>
      </c>
      <c r="AC102" s="310" t="e">
        <f t="shared" ca="1" si="54"/>
        <v>#N/A</v>
      </c>
      <c r="AD102" s="323" t="e">
        <f t="shared" ca="1" si="55"/>
        <v>#N/A</v>
      </c>
      <c r="AE102" s="324">
        <f t="shared" ca="1" si="34"/>
        <v>43.975465675207261</v>
      </c>
      <c r="AG102" s="306">
        <f t="shared" ca="1" si="56"/>
        <v>85.962055037025763</v>
      </c>
      <c r="AH102" s="304">
        <f t="shared" ca="1" si="57"/>
        <v>95.724713291047905</v>
      </c>
    </row>
    <row r="103" spans="1:34" x14ac:dyDescent="0.2">
      <c r="A103" s="347">
        <f t="shared" ca="1" si="35"/>
        <v>0.01</v>
      </c>
      <c r="B103" s="304">
        <f t="shared" ca="1" si="36"/>
        <v>0.99000000000000066</v>
      </c>
      <c r="D103" s="306">
        <f t="shared" ca="1" si="37"/>
        <v>9.3862121680532109</v>
      </c>
      <c r="E103" s="307">
        <f t="shared" ca="1" si="38"/>
        <v>85.280030105583748</v>
      </c>
      <c r="F103" s="304">
        <f t="shared" ca="1" si="39"/>
        <v>85.795014503600271</v>
      </c>
      <c r="G103" s="306">
        <f t="shared" ca="1" si="40"/>
        <v>8.9160073839095837</v>
      </c>
      <c r="H103" s="307">
        <f t="shared" ca="1" si="41"/>
        <v>90.228369866429205</v>
      </c>
      <c r="I103" s="304">
        <f t="shared" ca="1" si="42"/>
        <v>90.667821835660533</v>
      </c>
      <c r="J103" s="306">
        <f t="shared" ca="1" si="43"/>
        <v>4.2333685280431732</v>
      </c>
      <c r="K103" s="307">
        <f t="shared" ca="1" si="44"/>
        <v>44.873485372366275</v>
      </c>
      <c r="L103" s="304">
        <f t="shared" ca="1" si="29"/>
        <v>45.072731208106269</v>
      </c>
      <c r="M103" s="306">
        <f t="shared" ca="1" si="45"/>
        <v>1.4723000797937413</v>
      </c>
      <c r="N103" s="304">
        <f t="shared" ca="1" si="46"/>
        <v>84.356580748955707</v>
      </c>
      <c r="P103" s="310">
        <f t="shared" ca="1" si="47"/>
        <v>3</v>
      </c>
      <c r="Q103" s="304">
        <f t="shared" ca="1" si="48"/>
        <v>740.77</v>
      </c>
      <c r="R103" s="306">
        <f t="shared" ca="1" si="49"/>
        <v>0.37175794925110639</v>
      </c>
      <c r="S103" s="307">
        <f t="shared" ca="1" si="50"/>
        <v>7.4937279326360171</v>
      </c>
      <c r="T103" s="304">
        <f t="shared" ca="1" si="30"/>
        <v>73.513471019159326</v>
      </c>
      <c r="U103" s="311">
        <f t="shared" ca="1" si="31"/>
        <v>0</v>
      </c>
      <c r="V103" s="306">
        <f t="shared" ca="1" si="32"/>
        <v>1.2195153039133662</v>
      </c>
      <c r="W103" s="304">
        <f t="shared" ca="1" si="33"/>
        <v>25.200545327445003</v>
      </c>
      <c r="Y103" s="314" t="str">
        <f t="shared" ca="1" si="51"/>
        <v/>
      </c>
      <c r="Z103" s="315" t="str">
        <f t="shared" ca="1" si="52"/>
        <v/>
      </c>
      <c r="AA103" s="316" t="str">
        <f t="shared" ca="1" si="53"/>
        <v/>
      </c>
      <c r="AC103" s="310" t="e">
        <f t="shared" ca="1" si="54"/>
        <v>#N/A</v>
      </c>
      <c r="AD103" s="323" t="e">
        <f t="shared" ca="1" si="55"/>
        <v>#N/A</v>
      </c>
      <c r="AE103" s="324">
        <f t="shared" ca="1" si="34"/>
        <v>44.873485372366275</v>
      </c>
      <c r="AG103" s="306">
        <f t="shared" ca="1" si="56"/>
        <v>85.789602483465032</v>
      </c>
      <c r="AH103" s="304">
        <f t="shared" ca="1" si="57"/>
        <v>95.552157507533721</v>
      </c>
    </row>
    <row r="104" spans="1:34" x14ac:dyDescent="0.2">
      <c r="A104" s="347">
        <f t="shared" ca="1" si="35"/>
        <v>0.01</v>
      </c>
      <c r="B104" s="304">
        <f t="shared" ca="1" si="36"/>
        <v>1.0000000000000007</v>
      </c>
      <c r="D104" s="306">
        <f t="shared" ca="1" si="37"/>
        <v>9.379280208470627</v>
      </c>
      <c r="E104" s="307">
        <f t="shared" ca="1" si="38"/>
        <v>85.106606423859134</v>
      </c>
      <c r="F104" s="304">
        <f t="shared" ca="1" si="39"/>
        <v>85.621874274128515</v>
      </c>
      <c r="G104" s="306">
        <f t="shared" ca="1" si="40"/>
        <v>9.0098001859942904</v>
      </c>
      <c r="H104" s="307">
        <f t="shared" ca="1" si="41"/>
        <v>91.079435930667799</v>
      </c>
      <c r="I104" s="304">
        <f t="shared" ca="1" si="42"/>
        <v>91.523986740308487</v>
      </c>
      <c r="J104" s="306">
        <f t="shared" ca="1" si="43"/>
        <v>4.3229975658926927</v>
      </c>
      <c r="K104" s="307">
        <f t="shared" ca="1" si="44"/>
        <v>45.78002440135176</v>
      </c>
      <c r="L104" s="304">
        <f t="shared" ca="1" si="29"/>
        <v>45.983681259149719</v>
      </c>
      <c r="M104" s="306">
        <f t="shared" ca="1" si="45"/>
        <v>1.4721946771957561</v>
      </c>
      <c r="N104" s="304">
        <f t="shared" ca="1" si="46"/>
        <v>84.350541624941442</v>
      </c>
      <c r="P104" s="310">
        <f t="shared" ca="1" si="47"/>
        <v>3</v>
      </c>
      <c r="Q104" s="304">
        <f t="shared" ca="1" si="48"/>
        <v>739.58999999999992</v>
      </c>
      <c r="R104" s="306">
        <f t="shared" ca="1" si="49"/>
        <v>0.37116576222933673</v>
      </c>
      <c r="S104" s="307">
        <f t="shared" ca="1" si="50"/>
        <v>7.4900162750137236</v>
      </c>
      <c r="T104" s="304">
        <f t="shared" ca="1" si="30"/>
        <v>73.477059657884638</v>
      </c>
      <c r="U104" s="311">
        <f t="shared" ca="1" si="31"/>
        <v>0</v>
      </c>
      <c r="V104" s="306">
        <f t="shared" ca="1" si="32"/>
        <v>1.2194047545345315</v>
      </c>
      <c r="W104" s="304">
        <f t="shared" ca="1" si="33"/>
        <v>25.676395820866706</v>
      </c>
      <c r="Y104" s="314" t="str">
        <f t="shared" ca="1" si="51"/>
        <v/>
      </c>
      <c r="Z104" s="315" t="str">
        <f t="shared" ca="1" si="52"/>
        <v/>
      </c>
      <c r="AA104" s="316" t="str">
        <f t="shared" ca="1" si="53"/>
        <v/>
      </c>
      <c r="AC104" s="310">
        <f t="shared" ca="1" si="54"/>
        <v>1.0000000000000007</v>
      </c>
      <c r="AD104" s="323">
        <f t="shared" ca="1" si="55"/>
        <v>4.3229975658926927</v>
      </c>
      <c r="AE104" s="324">
        <f t="shared" ca="1" si="34"/>
        <v>45.78002440135176</v>
      </c>
      <c r="AG104" s="306">
        <f t="shared" ca="1" si="56"/>
        <v>85.616439624558566</v>
      </c>
      <c r="AH104" s="304">
        <f t="shared" ca="1" si="57"/>
        <v>95.378892173534837</v>
      </c>
    </row>
    <row r="105" spans="1:34" x14ac:dyDescent="0.2">
      <c r="A105" s="347">
        <f t="shared" ca="1" si="35"/>
        <v>0.01</v>
      </c>
      <c r="B105" s="304">
        <f t="shared" ca="1" si="36"/>
        <v>1.0100000000000007</v>
      </c>
      <c r="D105" s="306">
        <f t="shared" ca="1" si="37"/>
        <v>9.3693958260906296</v>
      </c>
      <c r="E105" s="307">
        <f t="shared" ca="1" si="38"/>
        <v>84.904562946471515</v>
      </c>
      <c r="F105" s="304">
        <f t="shared" ca="1" si="39"/>
        <v>85.419964804940705</v>
      </c>
      <c r="G105" s="306">
        <f t="shared" ca="1" si="40"/>
        <v>9.1034941442551975</v>
      </c>
      <c r="H105" s="307">
        <f t="shared" ca="1" si="41"/>
        <v>91.928481560132511</v>
      </c>
      <c r="I105" s="304">
        <f t="shared" ca="1" si="42"/>
        <v>92.378132301893345</v>
      </c>
      <c r="J105" s="306">
        <f t="shared" ca="1" si="43"/>
        <v>4.4135640375439404</v>
      </c>
      <c r="K105" s="307">
        <f t="shared" ca="1" si="44"/>
        <v>46.695063988805764</v>
      </c>
      <c r="L105" s="304">
        <f t="shared" ca="1" si="29"/>
        <v>46.903182711114241</v>
      </c>
      <c r="M105" s="306">
        <f t="shared" ca="1" si="45"/>
        <v>1.4720901377818876</v>
      </c>
      <c r="N105" s="304">
        <f t="shared" ca="1" si="46"/>
        <v>84.344551957734012</v>
      </c>
      <c r="P105" s="310">
        <f t="shared" ca="1" si="47"/>
        <v>4</v>
      </c>
      <c r="Q105" s="304">
        <f t="shared" ca="1" si="48"/>
        <v>738.19999999999982</v>
      </c>
      <c r="R105" s="306">
        <f t="shared" ca="1" si="49"/>
        <v>0.37046818599182835</v>
      </c>
      <c r="S105" s="307">
        <f t="shared" ca="1" si="50"/>
        <v>7.4863115931538049</v>
      </c>
      <c r="T105" s="304">
        <f t="shared" ca="1" si="30"/>
        <v>73.440716728838837</v>
      </c>
      <c r="U105" s="311">
        <f t="shared" ca="1" si="31"/>
        <v>0</v>
      </c>
      <c r="V105" s="306">
        <f t="shared" ca="1" si="32"/>
        <v>1.2192931786807053</v>
      </c>
      <c r="W105" s="304">
        <f t="shared" ca="1" si="33"/>
        <v>26.15548743795884</v>
      </c>
      <c r="Y105" s="314" t="str">
        <f t="shared" ca="1" si="51"/>
        <v/>
      </c>
      <c r="Z105" s="315" t="str">
        <f t="shared" ca="1" si="52"/>
        <v/>
      </c>
      <c r="AA105" s="316" t="str">
        <f t="shared" ca="1" si="53"/>
        <v/>
      </c>
      <c r="AC105" s="310" t="e">
        <f t="shared" ca="1" si="54"/>
        <v>#N/A</v>
      </c>
      <c r="AD105" s="323" t="e">
        <f t="shared" ca="1" si="55"/>
        <v>#N/A</v>
      </c>
      <c r="AE105" s="324">
        <f t="shared" ca="1" si="34"/>
        <v>46.695063988805764</v>
      </c>
      <c r="AG105" s="306">
        <f t="shared" ca="1" si="56"/>
        <v>85.414505680816674</v>
      </c>
      <c r="AH105" s="304">
        <f t="shared" ca="1" si="57"/>
        <v>95.176856495090647</v>
      </c>
    </row>
    <row r="106" spans="1:34" x14ac:dyDescent="0.2">
      <c r="A106" s="347">
        <f t="shared" ca="1" si="35"/>
        <v>0.01</v>
      </c>
      <c r="B106" s="304">
        <f t="shared" ca="1" si="36"/>
        <v>1.0200000000000007</v>
      </c>
      <c r="D106" s="306">
        <f t="shared" ca="1" si="37"/>
        <v>9.3565492319757322</v>
      </c>
      <c r="E106" s="307">
        <f t="shared" ca="1" si="38"/>
        <v>84.673870688371153</v>
      </c>
      <c r="F106" s="304">
        <f t="shared" ca="1" si="39"/>
        <v>85.189256311352935</v>
      </c>
      <c r="G106" s="306">
        <f t="shared" ca="1" si="40"/>
        <v>9.1970596365749557</v>
      </c>
      <c r="H106" s="307">
        <f t="shared" ca="1" si="41"/>
        <v>92.775220267016223</v>
      </c>
      <c r="I106" s="304">
        <f t="shared" ca="1" si="42"/>
        <v>93.229970511376294</v>
      </c>
      <c r="J106" s="306">
        <f t="shared" ca="1" si="43"/>
        <v>4.5050668064480917</v>
      </c>
      <c r="K106" s="307">
        <f t="shared" ca="1" si="44"/>
        <v>47.61858249794151</v>
      </c>
      <c r="L106" s="304">
        <f t="shared" ca="1" si="29"/>
        <v>47.831213930275929</v>
      </c>
      <c r="M106" s="306">
        <f t="shared" ca="1" si="45"/>
        <v>1.4719864440747745</v>
      </c>
      <c r="N106" s="304">
        <f t="shared" ca="1" si="46"/>
        <v>84.338610745954369</v>
      </c>
      <c r="P106" s="310">
        <f t="shared" ca="1" si="47"/>
        <v>4</v>
      </c>
      <c r="Q106" s="304">
        <f t="shared" ca="1" si="48"/>
        <v>736.59999999999991</v>
      </c>
      <c r="R106" s="306">
        <f t="shared" ca="1" si="49"/>
        <v>0.36966522053858142</v>
      </c>
      <c r="S106" s="307">
        <f t="shared" ca="1" si="50"/>
        <v>7.4826149409484195</v>
      </c>
      <c r="T106" s="304">
        <f t="shared" ca="1" si="30"/>
        <v>73.404452570703995</v>
      </c>
      <c r="U106" s="311">
        <f t="shared" ca="1" si="31"/>
        <v>0</v>
      </c>
      <c r="V106" s="306">
        <f t="shared" ca="1" si="32"/>
        <v>1.2191805792723029</v>
      </c>
      <c r="W106" s="304">
        <f t="shared" ca="1" si="33"/>
        <v>26.637621811194375</v>
      </c>
      <c r="Y106" s="314" t="str">
        <f t="shared" ca="1" si="51"/>
        <v/>
      </c>
      <c r="Z106" s="315" t="str">
        <f t="shared" ca="1" si="52"/>
        <v/>
      </c>
      <c r="AA106" s="316" t="str">
        <f t="shared" ca="1" si="53"/>
        <v/>
      </c>
      <c r="AC106" s="310" t="e">
        <f t="shared" ca="1" si="54"/>
        <v>#N/A</v>
      </c>
      <c r="AD106" s="323" t="e">
        <f t="shared" ca="1" si="55"/>
        <v>#N/A</v>
      </c>
      <c r="AE106" s="324">
        <f t="shared" ca="1" si="34"/>
        <v>47.61858249794151</v>
      </c>
      <c r="AG106" s="306">
        <f t="shared" ca="1" si="56"/>
        <v>85.183770826068283</v>
      </c>
      <c r="AH106" s="304">
        <f t="shared" ca="1" si="57"/>
        <v>94.946020631658001</v>
      </c>
    </row>
    <row r="107" spans="1:34" x14ac:dyDescent="0.2">
      <c r="A107" s="347">
        <f t="shared" ca="1" si="35"/>
        <v>0.01</v>
      </c>
      <c r="B107" s="304">
        <f t="shared" ca="1" si="36"/>
        <v>1.0300000000000007</v>
      </c>
      <c r="D107" s="306">
        <f t="shared" ca="1" si="37"/>
        <v>9.3435021195796892</v>
      </c>
      <c r="E107" s="307">
        <f t="shared" ca="1" si="38"/>
        <v>84.442456922434147</v>
      </c>
      <c r="F107" s="304">
        <f t="shared" ca="1" si="39"/>
        <v>84.957810488240199</v>
      </c>
      <c r="G107" s="306">
        <f t="shared" ca="1" si="40"/>
        <v>9.2904946577707523</v>
      </c>
      <c r="H107" s="307">
        <f t="shared" ca="1" si="41"/>
        <v>93.619644836240568</v>
      </c>
      <c r="I107" s="304">
        <f t="shared" ca="1" si="42"/>
        <v>94.079493994440114</v>
      </c>
      <c r="J107" s="306">
        <f t="shared" ca="1" si="43"/>
        <v>4.5975045779198203</v>
      </c>
      <c r="K107" s="307">
        <f t="shared" ca="1" si="44"/>
        <v>48.550556823457796</v>
      </c>
      <c r="L107" s="304">
        <f t="shared" ca="1" si="29"/>
        <v>48.767751806001861</v>
      </c>
      <c r="M107" s="306">
        <f t="shared" ca="1" si="45"/>
        <v>1.4718835791077987</v>
      </c>
      <c r="N107" s="304">
        <f t="shared" ca="1" si="46"/>
        <v>84.3327170174869</v>
      </c>
      <c r="P107" s="310">
        <f t="shared" ca="1" si="47"/>
        <v>4</v>
      </c>
      <c r="Q107" s="304">
        <f t="shared" ca="1" si="48"/>
        <v>734.99999999999989</v>
      </c>
      <c r="R107" s="306">
        <f t="shared" ca="1" si="49"/>
        <v>0.36886225508533443</v>
      </c>
      <c r="S107" s="307">
        <f t="shared" ca="1" si="50"/>
        <v>7.4789263183975665</v>
      </c>
      <c r="T107" s="304">
        <f t="shared" ca="1" si="30"/>
        <v>73.368267183480128</v>
      </c>
      <c r="U107" s="311">
        <f t="shared" ca="1" si="31"/>
        <v>0</v>
      </c>
      <c r="V107" s="306">
        <f t="shared" ca="1" si="32"/>
        <v>1.2190669594103407</v>
      </c>
      <c r="W107" s="304">
        <f t="shared" ca="1" si="33"/>
        <v>27.122756525359556</v>
      </c>
      <c r="Y107" s="314" t="str">
        <f t="shared" ca="1" si="51"/>
        <v/>
      </c>
      <c r="Z107" s="315" t="str">
        <f t="shared" ca="1" si="52"/>
        <v/>
      </c>
      <c r="AA107" s="316" t="str">
        <f t="shared" ca="1" si="53"/>
        <v/>
      </c>
      <c r="AC107" s="310" t="e">
        <f t="shared" ca="1" si="54"/>
        <v>#N/A</v>
      </c>
      <c r="AD107" s="323" t="e">
        <f t="shared" ca="1" si="55"/>
        <v>#N/A</v>
      </c>
      <c r="AE107" s="324">
        <f t="shared" ca="1" si="34"/>
        <v>48.550556823457796</v>
      </c>
      <c r="AG107" s="306">
        <f t="shared" ca="1" si="56"/>
        <v>84.952298532676821</v>
      </c>
      <c r="AH107" s="304">
        <f t="shared" ca="1" si="57"/>
        <v>94.714448041330499</v>
      </c>
    </row>
    <row r="108" spans="1:34" x14ac:dyDescent="0.2">
      <c r="A108" s="347">
        <f t="shared" ca="1" si="35"/>
        <v>0.01</v>
      </c>
      <c r="B108" s="304">
        <f t="shared" ca="1" si="36"/>
        <v>1.0400000000000007</v>
      </c>
      <c r="D108" s="306">
        <f t="shared" ca="1" si="37"/>
        <v>9.3302569701190858</v>
      </c>
      <c r="E108" s="307">
        <f t="shared" ca="1" si="38"/>
        <v>84.210326790974349</v>
      </c>
      <c r="F108" s="304">
        <f t="shared" ca="1" si="39"/>
        <v>84.725632682035183</v>
      </c>
      <c r="G108" s="306">
        <f t="shared" ca="1" si="40"/>
        <v>9.383797227471943</v>
      </c>
      <c r="H108" s="307">
        <f t="shared" ca="1" si="41"/>
        <v>94.461748104150317</v>
      </c>
      <c r="I108" s="304">
        <f t="shared" ca="1" si="42"/>
        <v>94.92669543020159</v>
      </c>
      <c r="J108" s="306">
        <f t="shared" ca="1" si="43"/>
        <v>4.6908760373460341</v>
      </c>
      <c r="K108" s="307">
        <f t="shared" ca="1" si="44"/>
        <v>49.490963788159753</v>
      </c>
      <c r="L108" s="304">
        <f t="shared" ca="1" si="29"/>
        <v>49.712773154177263</v>
      </c>
      <c r="M108" s="306">
        <f t="shared" ca="1" si="45"/>
        <v>1.4717815264051384</v>
      </c>
      <c r="N108" s="304">
        <f t="shared" ca="1" si="46"/>
        <v>84.326869828336555</v>
      </c>
      <c r="P108" s="310">
        <f t="shared" ca="1" si="47"/>
        <v>4</v>
      </c>
      <c r="Q108" s="304">
        <f t="shared" ca="1" si="48"/>
        <v>733.39999999999986</v>
      </c>
      <c r="R108" s="306">
        <f t="shared" ca="1" si="49"/>
        <v>0.36805928963208739</v>
      </c>
      <c r="S108" s="307">
        <f t="shared" ca="1" si="50"/>
        <v>7.4752457255012459</v>
      </c>
      <c r="T108" s="304">
        <f t="shared" ca="1" si="30"/>
        <v>73.332160567167222</v>
      </c>
      <c r="U108" s="311">
        <f t="shared" ca="1" si="31"/>
        <v>0</v>
      </c>
      <c r="V108" s="306">
        <f t="shared" ca="1" si="32"/>
        <v>1.2189523222060854</v>
      </c>
      <c r="W108" s="304">
        <f t="shared" ca="1" si="33"/>
        <v>27.610849145590787</v>
      </c>
      <c r="Y108" s="314" t="str">
        <f t="shared" ca="1" si="51"/>
        <v/>
      </c>
      <c r="Z108" s="315" t="str">
        <f t="shared" ca="1" si="52"/>
        <v/>
      </c>
      <c r="AA108" s="316" t="str">
        <f t="shared" ca="1" si="53"/>
        <v/>
      </c>
      <c r="AC108" s="310" t="e">
        <f t="shared" ca="1" si="54"/>
        <v>#N/A</v>
      </c>
      <c r="AD108" s="323" t="e">
        <f t="shared" ca="1" si="55"/>
        <v>#N/A</v>
      </c>
      <c r="AE108" s="324">
        <f t="shared" ca="1" si="34"/>
        <v>49.490963788159753</v>
      </c>
      <c r="AG108" s="306">
        <f t="shared" ca="1" si="56"/>
        <v>84.720094144238558</v>
      </c>
      <c r="AH108" s="304">
        <f t="shared" ca="1" si="57"/>
        <v>94.482144053837303</v>
      </c>
    </row>
    <row r="109" spans="1:34" x14ac:dyDescent="0.2">
      <c r="A109" s="347">
        <f t="shared" ca="1" si="35"/>
        <v>0.01</v>
      </c>
      <c r="B109" s="304">
        <f t="shared" ca="1" si="36"/>
        <v>1.0500000000000007</v>
      </c>
      <c r="D109" s="306">
        <f t="shared" ca="1" si="37"/>
        <v>9.3168162105940588</v>
      </c>
      <c r="E109" s="307">
        <f t="shared" ca="1" si="38"/>
        <v>83.977485458581214</v>
      </c>
      <c r="F109" s="304">
        <f t="shared" ca="1" si="39"/>
        <v>84.492728256626961</v>
      </c>
      <c r="G109" s="306">
        <f t="shared" ca="1" si="40"/>
        <v>9.4769653895778845</v>
      </c>
      <c r="H109" s="307">
        <f t="shared" ca="1" si="41"/>
        <v>95.301522958736129</v>
      </c>
      <c r="I109" s="304">
        <f t="shared" ca="1" si="42"/>
        <v>95.771567551386397</v>
      </c>
      <c r="J109" s="306">
        <f t="shared" ca="1" si="43"/>
        <v>4.785179850431283</v>
      </c>
      <c r="K109" s="307">
        <f t="shared" ca="1" si="44"/>
        <v>50.439780143474188</v>
      </c>
      <c r="L109" s="304">
        <f t="shared" ca="1" si="29"/>
        <v>50.666254717740749</v>
      </c>
      <c r="M109" s="306">
        <f t="shared" ca="1" si="45"/>
        <v>1.4716802699627909</v>
      </c>
      <c r="N109" s="304">
        <f t="shared" ca="1" si="46"/>
        <v>84.321068261541541</v>
      </c>
      <c r="P109" s="310">
        <f t="shared" ca="1" si="47"/>
        <v>4</v>
      </c>
      <c r="Q109" s="304">
        <f t="shared" ca="1" si="48"/>
        <v>731.79999999999984</v>
      </c>
      <c r="R109" s="306">
        <f t="shared" ca="1" si="49"/>
        <v>0.36725632417884041</v>
      </c>
      <c r="S109" s="307">
        <f t="shared" ca="1" si="50"/>
        <v>7.4715731622594577</v>
      </c>
      <c r="T109" s="304">
        <f t="shared" ca="1" si="30"/>
        <v>73.296132721765289</v>
      </c>
      <c r="U109" s="311">
        <f t="shared" ca="1" si="31"/>
        <v>0</v>
      </c>
      <c r="V109" s="306">
        <f t="shared" ca="1" si="32"/>
        <v>1.2188366707809624</v>
      </c>
      <c r="W109" s="304">
        <f t="shared" ca="1" si="33"/>
        <v>28.101857220354411</v>
      </c>
      <c r="Y109" s="314" t="str">
        <f t="shared" ca="1" si="51"/>
        <v/>
      </c>
      <c r="Z109" s="315" t="str">
        <f t="shared" ca="1" si="52"/>
        <v/>
      </c>
      <c r="AA109" s="316" t="str">
        <f t="shared" ca="1" si="53"/>
        <v/>
      </c>
      <c r="AC109" s="310" t="e">
        <f t="shared" ca="1" si="54"/>
        <v>#N/A</v>
      </c>
      <c r="AD109" s="323" t="e">
        <f t="shared" ca="1" si="55"/>
        <v>#N/A</v>
      </c>
      <c r="AE109" s="324">
        <f t="shared" ca="1" si="34"/>
        <v>50.439780143474188</v>
      </c>
      <c r="AG109" s="306">
        <f t="shared" ca="1" si="56"/>
        <v>84.487163021821956</v>
      </c>
      <c r="AH109" s="304">
        <f t="shared" ca="1" si="57"/>
        <v>94.249114016767138</v>
      </c>
    </row>
    <row r="110" spans="1:34" x14ac:dyDescent="0.2">
      <c r="A110" s="347">
        <f t="shared" ca="1" si="35"/>
        <v>0.01</v>
      </c>
      <c r="B110" s="304">
        <f t="shared" ca="1" si="36"/>
        <v>1.0600000000000007</v>
      </c>
      <c r="D110" s="306">
        <f t="shared" ca="1" si="37"/>
        <v>9.3031822159402839</v>
      </c>
      <c r="E110" s="307">
        <f t="shared" ca="1" si="38"/>
        <v>83.743938111536124</v>
      </c>
      <c r="F110" s="304">
        <f t="shared" ca="1" si="39"/>
        <v>84.259102592964879</v>
      </c>
      <c r="G110" s="306">
        <f t="shared" ca="1" si="40"/>
        <v>9.569997211737288</v>
      </c>
      <c r="H110" s="307">
        <f t="shared" ca="1" si="41"/>
        <v>96.138962339851489</v>
      </c>
      <c r="I110" s="304">
        <f t="shared" ca="1" si="42"/>
        <v>96.614103144499779</v>
      </c>
      <c r="J110" s="306">
        <f t="shared" ca="1" si="43"/>
        <v>4.8804146634378585</v>
      </c>
      <c r="K110" s="307">
        <f t="shared" ca="1" si="44"/>
        <v>51.396982569967129</v>
      </c>
      <c r="L110" s="304">
        <f t="shared" ca="1" si="29"/>
        <v>51.628173167221441</v>
      </c>
      <c r="M110" s="306">
        <f t="shared" ca="1" si="45"/>
        <v>1.4715797942305047</v>
      </c>
      <c r="N110" s="304">
        <f t="shared" ca="1" si="46"/>
        <v>84.315311426138052</v>
      </c>
      <c r="P110" s="310">
        <f t="shared" ca="1" si="47"/>
        <v>4</v>
      </c>
      <c r="Q110" s="304">
        <f t="shared" ca="1" si="48"/>
        <v>730.19999999999982</v>
      </c>
      <c r="R110" s="306">
        <f t="shared" ca="1" si="49"/>
        <v>0.36645335872559343</v>
      </c>
      <c r="S110" s="307">
        <f t="shared" ca="1" si="50"/>
        <v>7.4679086286722018</v>
      </c>
      <c r="T110" s="304">
        <f t="shared" ca="1" si="30"/>
        <v>73.260183647274303</v>
      </c>
      <c r="U110" s="311">
        <f t="shared" ca="1" si="31"/>
        <v>0</v>
      </c>
      <c r="V110" s="306">
        <f t="shared" ca="1" si="32"/>
        <v>1.2187200082664624</v>
      </c>
      <c r="W110" s="304">
        <f t="shared" ca="1" si="33"/>
        <v>28.595738284418147</v>
      </c>
      <c r="Y110" s="314" t="str">
        <f t="shared" ca="1" si="51"/>
        <v/>
      </c>
      <c r="Z110" s="315" t="str">
        <f t="shared" ca="1" si="52"/>
        <v/>
      </c>
      <c r="AA110" s="316" t="str">
        <f t="shared" ca="1" si="53"/>
        <v/>
      </c>
      <c r="AC110" s="310" t="e">
        <f t="shared" ca="1" si="54"/>
        <v>#N/A</v>
      </c>
      <c r="AD110" s="323" t="e">
        <f t="shared" ca="1" si="55"/>
        <v>#N/A</v>
      </c>
      <c r="AE110" s="324">
        <f t="shared" ca="1" si="34"/>
        <v>51.396982569967129</v>
      </c>
      <c r="AG110" s="306">
        <f t="shared" ca="1" si="56"/>
        <v>84.253510543569803</v>
      </c>
      <c r="AH110" s="304">
        <f t="shared" ca="1" si="57"/>
        <v>94.015363295155751</v>
      </c>
    </row>
    <row r="111" spans="1:34" x14ac:dyDescent="0.2">
      <c r="A111" s="347">
        <f t="shared" ca="1" si="35"/>
        <v>0.01</v>
      </c>
      <c r="B111" s="304">
        <f t="shared" ca="1" si="36"/>
        <v>1.0700000000000007</v>
      </c>
      <c r="D111" s="306">
        <f t="shared" ca="1" si="37"/>
        <v>9.2893573110757863</v>
      </c>
      <c r="E111" s="307">
        <f t="shared" ca="1" si="38"/>
        <v>83.509689957236347</v>
      </c>
      <c r="F111" s="304">
        <f t="shared" ca="1" si="39"/>
        <v>84.024761088661108</v>
      </c>
      <c r="G111" s="306">
        <f t="shared" ca="1" si="40"/>
        <v>9.6628907848480452</v>
      </c>
      <c r="H111" s="307">
        <f t="shared" ca="1" si="41"/>
        <v>96.974059239423852</v>
      </c>
      <c r="I111" s="304">
        <f t="shared" ca="1" si="42"/>
        <v>97.454295049993505</v>
      </c>
      <c r="J111" s="306">
        <f t="shared" ca="1" si="43"/>
        <v>4.9765791034207849</v>
      </c>
      <c r="K111" s="307">
        <f t="shared" ca="1" si="44"/>
        <v>52.362547677863503</v>
      </c>
      <c r="L111" s="304">
        <f t="shared" ca="1" si="29"/>
        <v>52.598505101277667</v>
      </c>
      <c r="M111" s="306">
        <f t="shared" ca="1" si="45"/>
        <v>1.4714800840945745</v>
      </c>
      <c r="N111" s="304">
        <f t="shared" ca="1" si="46"/>
        <v>84.309598456174584</v>
      </c>
      <c r="P111" s="310">
        <f t="shared" ca="1" si="47"/>
        <v>4</v>
      </c>
      <c r="Q111" s="304">
        <f t="shared" ca="1" si="48"/>
        <v>728.59999999999991</v>
      </c>
      <c r="R111" s="306">
        <f t="shared" ca="1" si="49"/>
        <v>0.3656503932723465</v>
      </c>
      <c r="S111" s="307">
        <f t="shared" ca="1" si="50"/>
        <v>7.4642521247394784</v>
      </c>
      <c r="T111" s="304">
        <f t="shared" ca="1" si="30"/>
        <v>73.224313343694291</v>
      </c>
      <c r="U111" s="311">
        <f t="shared" ca="1" si="31"/>
        <v>0</v>
      </c>
      <c r="V111" s="306">
        <f t="shared" ca="1" si="32"/>
        <v>1.2186023378040496</v>
      </c>
      <c r="W111" s="304">
        <f t="shared" ca="1" si="33"/>
        <v>29.092449861814274</v>
      </c>
      <c r="Y111" s="314" t="str">
        <f t="shared" ca="1" si="51"/>
        <v/>
      </c>
      <c r="Z111" s="315" t="str">
        <f t="shared" ca="1" si="52"/>
        <v/>
      </c>
      <c r="AA111" s="316" t="str">
        <f t="shared" ca="1" si="53"/>
        <v/>
      </c>
      <c r="AC111" s="310" t="e">
        <f t="shared" ca="1" si="54"/>
        <v>#N/A</v>
      </c>
      <c r="AD111" s="323" t="e">
        <f t="shared" ca="1" si="55"/>
        <v>#N/A</v>
      </c>
      <c r="AE111" s="324">
        <f t="shared" ca="1" si="34"/>
        <v>52.362547677863503</v>
      </c>
      <c r="AG111" s="306">
        <f t="shared" ca="1" si="56"/>
        <v>84.019142104300215</v>
      </c>
      <c r="AH111" s="304">
        <f t="shared" ca="1" si="57"/>
        <v>93.780897271073044</v>
      </c>
    </row>
    <row r="112" spans="1:34" x14ac:dyDescent="0.2">
      <c r="A112" s="347">
        <f t="shared" ca="1" si="35"/>
        <v>0.01</v>
      </c>
      <c r="B112" s="304">
        <f t="shared" ca="1" si="36"/>
        <v>1.0800000000000007</v>
      </c>
      <c r="D112" s="306">
        <f t="shared" ca="1" si="37"/>
        <v>9.27534377284816</v>
      </c>
      <c r="E112" s="307">
        <f t="shared" ca="1" si="38"/>
        <v>83.274746223626494</v>
      </c>
      <c r="F112" s="304">
        <f t="shared" ca="1" si="39"/>
        <v>83.789709157592313</v>
      </c>
      <c r="G112" s="306">
        <f t="shared" ca="1" si="40"/>
        <v>9.7556442225765263</v>
      </c>
      <c r="H112" s="307">
        <f t="shared" ca="1" si="41"/>
        <v>97.806806701660122</v>
      </c>
      <c r="I112" s="304">
        <f t="shared" ca="1" si="42"/>
        <v>98.292136162428577</v>
      </c>
      <c r="J112" s="306">
        <f t="shared" ca="1" si="43"/>
        <v>5.073671778457908</v>
      </c>
      <c r="K112" s="307">
        <f t="shared" ca="1" si="44"/>
        <v>53.336452007568923</v>
      </c>
      <c r="L112" s="304">
        <f t="shared" ca="1" si="29"/>
        <v>53.577227047237365</v>
      </c>
      <c r="M112" s="306">
        <f t="shared" ca="1" si="45"/>
        <v>1.4713811248614459</v>
      </c>
      <c r="N112" s="304">
        <f t="shared" ca="1" si="46"/>
        <v>84.303928509772462</v>
      </c>
      <c r="P112" s="310">
        <f t="shared" ca="1" si="47"/>
        <v>4</v>
      </c>
      <c r="Q112" s="304">
        <f t="shared" ca="1" si="48"/>
        <v>726.99999999999989</v>
      </c>
      <c r="R112" s="306">
        <f t="shared" ca="1" si="49"/>
        <v>0.36484742781909951</v>
      </c>
      <c r="S112" s="307">
        <f t="shared" ca="1" si="50"/>
        <v>7.4606036504612874</v>
      </c>
      <c r="T112" s="304">
        <f t="shared" ca="1" si="30"/>
        <v>73.18852181102524</v>
      </c>
      <c r="U112" s="311">
        <f t="shared" ca="1" si="31"/>
        <v>0</v>
      </c>
      <c r="V112" s="306">
        <f t="shared" ca="1" si="32"/>
        <v>1.2184836625450692</v>
      </c>
      <c r="W112" s="304">
        <f t="shared" ca="1" si="33"/>
        <v>29.591949468793775</v>
      </c>
      <c r="Y112" s="314" t="str">
        <f t="shared" ca="1" si="51"/>
        <v/>
      </c>
      <c r="Z112" s="315" t="str">
        <f t="shared" ca="1" si="52"/>
        <v/>
      </c>
      <c r="AA112" s="316" t="str">
        <f t="shared" ca="1" si="53"/>
        <v/>
      </c>
      <c r="AC112" s="310" t="e">
        <f t="shared" ca="1" si="54"/>
        <v>#N/A</v>
      </c>
      <c r="AD112" s="323" t="e">
        <f t="shared" ca="1" si="55"/>
        <v>#N/A</v>
      </c>
      <c r="AE112" s="324">
        <f t="shared" ca="1" si="34"/>
        <v>53.336452007568923</v>
      </c>
      <c r="AG112" s="306">
        <f t="shared" ca="1" si="56"/>
        <v>83.784063115106804</v>
      </c>
      <c r="AH112" s="304">
        <f t="shared" ca="1" si="57"/>
        <v>93.54572134320982</v>
      </c>
    </row>
    <row r="113" spans="1:34" x14ac:dyDescent="0.2">
      <c r="A113" s="347">
        <f t="shared" ca="1" si="35"/>
        <v>0.01</v>
      </c>
      <c r="B113" s="304">
        <f t="shared" ca="1" si="36"/>
        <v>1.0900000000000007</v>
      </c>
      <c r="D113" s="306">
        <f t="shared" ca="1" si="37"/>
        <v>9.261143831888246</v>
      </c>
      <c r="E113" s="307">
        <f t="shared" ca="1" si="38"/>
        <v>83.039112158636925</v>
      </c>
      <c r="F113" s="304">
        <f t="shared" ca="1" si="39"/>
        <v>83.553952229500212</v>
      </c>
      <c r="G113" s="306">
        <f t="shared" ca="1" si="40"/>
        <v>9.8482556608954095</v>
      </c>
      <c r="H113" s="307">
        <f t="shared" ca="1" si="41"/>
        <v>98.637197823246495</v>
      </c>
      <c r="I113" s="304">
        <f t="shared" ca="1" si="42"/>
        <v>99.12761943063407</v>
      </c>
      <c r="J113" s="306">
        <f t="shared" ca="1" si="43"/>
        <v>5.1716912778752677</v>
      </c>
      <c r="K113" s="307">
        <f t="shared" ca="1" si="44"/>
        <v>54.318672030193454</v>
      </c>
      <c r="L113" s="304">
        <f t="shared" ca="1" si="29"/>
        <v>54.564315461640057</v>
      </c>
      <c r="M113" s="306">
        <f t="shared" ca="1" si="45"/>
        <v>1.471282902242085</v>
      </c>
      <c r="N113" s="304">
        <f t="shared" ca="1" si="46"/>
        <v>84.298300768230362</v>
      </c>
      <c r="P113" s="310">
        <f t="shared" ca="1" si="47"/>
        <v>4</v>
      </c>
      <c r="Q113" s="304">
        <f t="shared" ca="1" si="48"/>
        <v>725.39999999999986</v>
      </c>
      <c r="R113" s="306">
        <f t="shared" ca="1" si="49"/>
        <v>0.36404446236585247</v>
      </c>
      <c r="S113" s="307">
        <f t="shared" ca="1" si="50"/>
        <v>7.4569632058376287</v>
      </c>
      <c r="T113" s="304">
        <f t="shared" ca="1" si="30"/>
        <v>73.152809049267148</v>
      </c>
      <c r="U113" s="311">
        <f t="shared" ca="1" si="31"/>
        <v>0</v>
      </c>
      <c r="V113" s="306">
        <f t="shared" ca="1" si="32"/>
        <v>1.218363985650653</v>
      </c>
      <c r="W113" s="304">
        <f t="shared" ca="1" si="33"/>
        <v>30.094194616771393</v>
      </c>
      <c r="Y113" s="314" t="str">
        <f t="shared" ca="1" si="51"/>
        <v/>
      </c>
      <c r="Z113" s="315" t="str">
        <f t="shared" ca="1" si="52"/>
        <v/>
      </c>
      <c r="AA113" s="316" t="str">
        <f t="shared" ca="1" si="53"/>
        <v/>
      </c>
      <c r="AC113" s="310" t="e">
        <f t="shared" ca="1" si="54"/>
        <v>#N/A</v>
      </c>
      <c r="AD113" s="323" t="e">
        <f t="shared" ca="1" si="55"/>
        <v>#N/A</v>
      </c>
      <c r="AE113" s="324">
        <f t="shared" ca="1" si="34"/>
        <v>54.318672030193454</v>
      </c>
      <c r="AG113" s="306">
        <f t="shared" ca="1" si="56"/>
        <v>83.548279002957685</v>
      </c>
      <c r="AH113" s="304">
        <f t="shared" ca="1" si="57"/>
        <v>93.309840926464247</v>
      </c>
    </row>
    <row r="114" spans="1:34" x14ac:dyDescent="0.2">
      <c r="A114" s="347">
        <f t="shared" ca="1" si="35"/>
        <v>0.01</v>
      </c>
      <c r="B114" s="304">
        <f t="shared" ca="1" si="36"/>
        <v>1.1000000000000008</v>
      </c>
      <c r="D114" s="306">
        <f t="shared" ca="1" si="37"/>
        <v>9.2467596743753191</v>
      </c>
      <c r="E114" s="307">
        <f t="shared" ca="1" si="38"/>
        <v>82.802793029628702</v>
      </c>
      <c r="F114" s="304">
        <f t="shared" ca="1" si="39"/>
        <v>83.317495749591401</v>
      </c>
      <c r="G114" s="306">
        <f t="shared" ca="1" si="40"/>
        <v>9.9407232576391635</v>
      </c>
      <c r="H114" s="307">
        <f t="shared" ca="1" si="41"/>
        <v>99.465225753542782</v>
      </c>
      <c r="I114" s="304">
        <f t="shared" ca="1" si="42"/>
        <v>99.960737857861972</v>
      </c>
      <c r="J114" s="306">
        <f t="shared" ca="1" si="43"/>
        <v>5.2706361724679409</v>
      </c>
      <c r="K114" s="307">
        <f t="shared" ca="1" si="44"/>
        <v>55.309184148077399</v>
      </c>
      <c r="L114" s="304">
        <f t="shared" ca="1" si="29"/>
        <v>55.559746730780404</v>
      </c>
      <c r="M114" s="306">
        <f t="shared" ca="1" si="45"/>
        <v>1.471185402337073</v>
      </c>
      <c r="N114" s="304">
        <f t="shared" ca="1" si="46"/>
        <v>84.29271443517024</v>
      </c>
      <c r="P114" s="310">
        <f t="shared" ca="1" si="47"/>
        <v>4</v>
      </c>
      <c r="Q114" s="304">
        <f t="shared" ca="1" si="48"/>
        <v>723.79999999999984</v>
      </c>
      <c r="R114" s="306">
        <f t="shared" ca="1" si="49"/>
        <v>0.36324149691260549</v>
      </c>
      <c r="S114" s="307">
        <f t="shared" ca="1" si="50"/>
        <v>7.4533307908685025</v>
      </c>
      <c r="T114" s="304">
        <f t="shared" ca="1" si="30"/>
        <v>73.117175058420017</v>
      </c>
      <c r="U114" s="311">
        <f t="shared" ca="1" si="31"/>
        <v>0</v>
      </c>
      <c r="V114" s="306">
        <f t="shared" ca="1" si="32"/>
        <v>1.2182433102916261</v>
      </c>
      <c r="W114" s="304">
        <f t="shared" ca="1" si="33"/>
        <v>30.599142815261185</v>
      </c>
      <c r="Y114" s="314" t="str">
        <f t="shared" ca="1" si="51"/>
        <v/>
      </c>
      <c r="Z114" s="315" t="str">
        <f t="shared" ca="1" si="52"/>
        <v/>
      </c>
      <c r="AA114" s="316" t="str">
        <f t="shared" ca="1" si="53"/>
        <v/>
      </c>
      <c r="AC114" s="310" t="e">
        <f t="shared" ca="1" si="54"/>
        <v>#N/A</v>
      </c>
      <c r="AD114" s="323" t="e">
        <f t="shared" ca="1" si="55"/>
        <v>#N/A</v>
      </c>
      <c r="AE114" s="324">
        <f t="shared" ca="1" si="34"/>
        <v>55.309184148077399</v>
      </c>
      <c r="AG114" s="306">
        <f t="shared" ca="1" si="56"/>
        <v>83.311795210293837</v>
      </c>
      <c r="AH114" s="304">
        <f t="shared" ca="1" si="57"/>
        <v>93.073261451528055</v>
      </c>
    </row>
    <row r="115" spans="1:34" x14ac:dyDescent="0.2">
      <c r="A115" s="347">
        <f t="shared" ca="1" si="35"/>
        <v>0.01</v>
      </c>
      <c r="B115" s="304">
        <f t="shared" ca="1" si="36"/>
        <v>1.1100000000000008</v>
      </c>
      <c r="D115" s="306">
        <f t="shared" ca="1" si="37"/>
        <v>9.2321934437186339</v>
      </c>
      <c r="E115" s="307">
        <f t="shared" ca="1" si="38"/>
        <v>82.565794122844878</v>
      </c>
      <c r="F115" s="304">
        <f t="shared" ca="1" si="39"/>
        <v>83.080345178136128</v>
      </c>
      <c r="G115" s="306">
        <f t="shared" ca="1" si="40"/>
        <v>10.033045192076349</v>
      </c>
      <c r="H115" s="307">
        <f t="shared" ca="1" si="41"/>
        <v>100.29088369477122</v>
      </c>
      <c r="I115" s="304">
        <f t="shared" ca="1" si="42"/>
        <v>100.79148450193784</v>
      </c>
      <c r="J115" s="306">
        <f t="shared" ca="1" si="43"/>
        <v>5.3705050147165183</v>
      </c>
      <c r="K115" s="307">
        <f t="shared" ca="1" si="44"/>
        <v>56.307964695318972</v>
      </c>
      <c r="L115" s="304">
        <f t="shared" ca="1" si="29"/>
        <v>56.563497171253324</v>
      </c>
      <c r="M115" s="306">
        <f t="shared" ca="1" si="45"/>
        <v>1.4710886116223807</v>
      </c>
      <c r="N115" s="304">
        <f t="shared" ca="1" si="46"/>
        <v>84.287168735722318</v>
      </c>
      <c r="P115" s="310">
        <f t="shared" ca="1" si="47"/>
        <v>4</v>
      </c>
      <c r="Q115" s="304">
        <f t="shared" ca="1" si="48"/>
        <v>722.19999999999982</v>
      </c>
      <c r="R115" s="306">
        <f t="shared" ca="1" si="49"/>
        <v>0.3624385314593585</v>
      </c>
      <c r="S115" s="307">
        <f t="shared" ca="1" si="50"/>
        <v>7.4497064055539086</v>
      </c>
      <c r="T115" s="304">
        <f t="shared" ca="1" si="30"/>
        <v>73.081619838483846</v>
      </c>
      <c r="U115" s="311">
        <f t="shared" ca="1" si="31"/>
        <v>0</v>
      </c>
      <c r="V115" s="306">
        <f t="shared" ca="1" si="32"/>
        <v>1.2181216396484154</v>
      </c>
      <c r="W115" s="304">
        <f t="shared" ca="1" si="33"/>
        <v>31.106751574802175</v>
      </c>
      <c r="Y115" s="314" t="str">
        <f t="shared" ca="1" si="51"/>
        <v/>
      </c>
      <c r="Z115" s="315" t="str">
        <f t="shared" ca="1" si="52"/>
        <v/>
      </c>
      <c r="AA115" s="316" t="str">
        <f t="shared" ca="1" si="53"/>
        <v/>
      </c>
      <c r="AC115" s="310" t="e">
        <f t="shared" ca="1" si="54"/>
        <v>#N/A</v>
      </c>
      <c r="AD115" s="323" t="e">
        <f t="shared" ca="1" si="55"/>
        <v>#N/A</v>
      </c>
      <c r="AE115" s="324">
        <f t="shared" ca="1" si="34"/>
        <v>56.307964695318972</v>
      </c>
      <c r="AG115" s="306">
        <f t="shared" ca="1" si="56"/>
        <v>83.074617194626583</v>
      </c>
      <c r="AH115" s="304">
        <f t="shared" ca="1" si="57"/>
        <v>92.835988364472456</v>
      </c>
    </row>
    <row r="116" spans="1:34" x14ac:dyDescent="0.2">
      <c r="A116" s="347">
        <f t="shared" ca="1" si="35"/>
        <v>0.01</v>
      </c>
      <c r="B116" s="304">
        <f t="shared" ca="1" si="36"/>
        <v>1.1200000000000008</v>
      </c>
      <c r="D116" s="306">
        <f t="shared" ca="1" si="37"/>
        <v>9.217447242160226</v>
      </c>
      <c r="E116" s="307">
        <f t="shared" ca="1" si="38"/>
        <v>82.328120742867995</v>
      </c>
      <c r="F116" s="304">
        <f t="shared" ca="1" si="39"/>
        <v>82.842505990066826</v>
      </c>
      <c r="G116" s="306">
        <f t="shared" ca="1" si="40"/>
        <v>10.125219664497951</v>
      </c>
      <c r="H116" s="307">
        <f t="shared" ca="1" si="41"/>
        <v>101.1141649021999</v>
      </c>
      <c r="I116" s="304">
        <f t="shared" ca="1" si="42"/>
        <v>101.61985247540764</v>
      </c>
      <c r="J116" s="306">
        <f t="shared" ca="1" si="43"/>
        <v>5.4712963389993901</v>
      </c>
      <c r="K116" s="307">
        <f t="shared" ca="1" si="44"/>
        <v>57.314989938303825</v>
      </c>
      <c r="L116" s="304">
        <f t="shared" ca="1" si="29"/>
        <v>57.575543030500519</v>
      </c>
      <c r="M116" s="306">
        <f t="shared" ca="1" si="45"/>
        <v>1.4709925169357916</v>
      </c>
      <c r="N116" s="304">
        <f t="shared" ca="1" si="46"/>
        <v>84.281662915747134</v>
      </c>
      <c r="P116" s="310">
        <f t="shared" ca="1" si="47"/>
        <v>4</v>
      </c>
      <c r="Q116" s="304">
        <f t="shared" ca="1" si="48"/>
        <v>720.59999999999991</v>
      </c>
      <c r="R116" s="306">
        <f t="shared" ca="1" si="49"/>
        <v>0.36163556600611158</v>
      </c>
      <c r="S116" s="307">
        <f t="shared" ca="1" si="50"/>
        <v>7.4460900498938472</v>
      </c>
      <c r="T116" s="304">
        <f t="shared" ca="1" si="30"/>
        <v>73.046143389458649</v>
      </c>
      <c r="U116" s="311">
        <f t="shared" ca="1" si="31"/>
        <v>0</v>
      </c>
      <c r="V116" s="306">
        <f t="shared" ca="1" si="32"/>
        <v>1.2179989769109534</v>
      </c>
      <c r="W116" s="304">
        <f t="shared" ca="1" si="33"/>
        <v>31.616978409873894</v>
      </c>
      <c r="Y116" s="314" t="str">
        <f t="shared" ca="1" si="51"/>
        <v/>
      </c>
      <c r="Z116" s="315" t="str">
        <f t="shared" ca="1" si="52"/>
        <v/>
      </c>
      <c r="AA116" s="316" t="str">
        <f t="shared" ca="1" si="53"/>
        <v/>
      </c>
      <c r="AC116" s="310" t="e">
        <f t="shared" ca="1" si="54"/>
        <v>#N/A</v>
      </c>
      <c r="AD116" s="323" t="e">
        <f t="shared" ca="1" si="55"/>
        <v>#N/A</v>
      </c>
      <c r="AE116" s="324">
        <f t="shared" ca="1" si="34"/>
        <v>57.314989938303825</v>
      </c>
      <c r="AG116" s="306">
        <f t="shared" ca="1" si="56"/>
        <v>82.836750428134678</v>
      </c>
      <c r="AH116" s="304">
        <f t="shared" ca="1" si="57"/>
        <v>92.598027126334216</v>
      </c>
    </row>
    <row r="117" spans="1:34" x14ac:dyDescent="0.2">
      <c r="A117" s="347">
        <f t="shared" ca="1" si="35"/>
        <v>0.01</v>
      </c>
      <c r="B117" s="304">
        <f t="shared" ca="1" si="36"/>
        <v>1.1300000000000008</v>
      </c>
      <c r="D117" s="306">
        <f t="shared" ca="1" si="37"/>
        <v>9.2025231323028649</v>
      </c>
      <c r="E117" s="307">
        <f t="shared" ca="1" si="38"/>
        <v>82.089778212082834</v>
      </c>
      <c r="F117" s="304">
        <f t="shared" ca="1" si="39"/>
        <v>82.603983674575403</v>
      </c>
      <c r="G117" s="306">
        <f t="shared" ca="1" si="40"/>
        <v>10.217244895820979</v>
      </c>
      <c r="H117" s="307">
        <f t="shared" ca="1" si="41"/>
        <v>101.93506268432073</v>
      </c>
      <c r="I117" s="304">
        <f t="shared" ca="1" si="42"/>
        <v>102.44583494568033</v>
      </c>
      <c r="J117" s="306">
        <f t="shared" ca="1" si="43"/>
        <v>5.5730086618009844</v>
      </c>
      <c r="K117" s="307">
        <f t="shared" ca="1" si="44"/>
        <v>58.330236076236424</v>
      </c>
      <c r="L117" s="304">
        <f t="shared" ca="1" si="29"/>
        <v>58.595860487358507</v>
      </c>
      <c r="M117" s="306">
        <f t="shared" ca="1" si="45"/>
        <v>1.4708971054639344</v>
      </c>
      <c r="N117" s="304">
        <f t="shared" ca="1" si="46"/>
        <v>84.276196241092578</v>
      </c>
      <c r="P117" s="310">
        <f t="shared" ca="1" si="47"/>
        <v>4</v>
      </c>
      <c r="Q117" s="304">
        <f t="shared" ca="1" si="48"/>
        <v>718.99999999999989</v>
      </c>
      <c r="R117" s="306">
        <f t="shared" ca="1" si="49"/>
        <v>0.36083260055286454</v>
      </c>
      <c r="S117" s="307">
        <f t="shared" ca="1" si="50"/>
        <v>7.4424817238883181</v>
      </c>
      <c r="T117" s="304">
        <f t="shared" ca="1" si="30"/>
        <v>73.010745711344399</v>
      </c>
      <c r="U117" s="311">
        <f t="shared" ca="1" si="31"/>
        <v>0</v>
      </c>
      <c r="V117" s="306">
        <f t="shared" ca="1" si="32"/>
        <v>1.2178753252785846</v>
      </c>
      <c r="W117" s="304">
        <f t="shared" ca="1" si="33"/>
        <v>32.129780841801306</v>
      </c>
      <c r="Y117" s="314" t="str">
        <f t="shared" ca="1" si="51"/>
        <v/>
      </c>
      <c r="Z117" s="315" t="str">
        <f t="shared" ca="1" si="52"/>
        <v/>
      </c>
      <c r="AA117" s="316" t="str">
        <f t="shared" ca="1" si="53"/>
        <v/>
      </c>
      <c r="AC117" s="310" t="e">
        <f t="shared" ca="1" si="54"/>
        <v>#N/A</v>
      </c>
      <c r="AD117" s="323" t="e">
        <f t="shared" ca="1" si="55"/>
        <v>#N/A</v>
      </c>
      <c r="AE117" s="324">
        <f t="shared" ca="1" si="34"/>
        <v>58.330236076236424</v>
      </c>
      <c r="AG117" s="306">
        <f t="shared" ca="1" si="56"/>
        <v>82.598200397260328</v>
      </c>
      <c r="AH117" s="304">
        <f t="shared" ca="1" si="57"/>
        <v>92.359383212701161</v>
      </c>
    </row>
    <row r="118" spans="1:34" x14ac:dyDescent="0.2">
      <c r="A118" s="347">
        <f t="shared" ca="1" si="35"/>
        <v>0.01</v>
      </c>
      <c r="B118" s="304">
        <f t="shared" ca="1" si="36"/>
        <v>1.1400000000000008</v>
      </c>
      <c r="D118" s="306">
        <f t="shared" ca="1" si="37"/>
        <v>9.1874231385674747</v>
      </c>
      <c r="E118" s="307">
        <f t="shared" ca="1" si="38"/>
        <v>81.85077187014538</v>
      </c>
      <c r="F118" s="304">
        <f t="shared" ca="1" si="39"/>
        <v>82.364783734710727</v>
      </c>
      <c r="G118" s="306">
        <f t="shared" ca="1" si="40"/>
        <v>10.309119127206653</v>
      </c>
      <c r="H118" s="307">
        <f t="shared" ca="1" si="41"/>
        <v>102.75357040302218</v>
      </c>
      <c r="I118" s="304">
        <f t="shared" ca="1" si="42"/>
        <v>103.26942513516657</v>
      </c>
      <c r="J118" s="306">
        <f t="shared" ca="1" si="43"/>
        <v>5.6756404819161226</v>
      </c>
      <c r="K118" s="307">
        <f t="shared" ca="1" si="44"/>
        <v>59.353679241673142</v>
      </c>
      <c r="L118" s="304">
        <f t="shared" ca="1" si="29"/>
        <v>59.62442565260806</v>
      </c>
      <c r="M118" s="306">
        <f t="shared" ca="1" si="45"/>
        <v>1.4708023647298933</v>
      </c>
      <c r="N118" s="304">
        <f t="shared" ca="1" si="46"/>
        <v>84.270767996884061</v>
      </c>
      <c r="P118" s="310">
        <f t="shared" ca="1" si="47"/>
        <v>4</v>
      </c>
      <c r="Q118" s="304">
        <f t="shared" ca="1" si="48"/>
        <v>717.39999999999986</v>
      </c>
      <c r="R118" s="306">
        <f t="shared" ca="1" si="49"/>
        <v>0.36002963509961755</v>
      </c>
      <c r="S118" s="307">
        <f t="shared" ca="1" si="50"/>
        <v>7.4388814275373223</v>
      </c>
      <c r="T118" s="304">
        <f t="shared" ca="1" si="30"/>
        <v>72.975426804141136</v>
      </c>
      <c r="U118" s="311">
        <f t="shared" ca="1" si="31"/>
        <v>0</v>
      </c>
      <c r="V118" s="306">
        <f t="shared" ca="1" si="32"/>
        <v>1.2177506879599724</v>
      </c>
      <c r="W118" s="304">
        <f t="shared" ca="1" si="33"/>
        <v>32.645116401649013</v>
      </c>
      <c r="Y118" s="314" t="str">
        <f t="shared" ca="1" si="51"/>
        <v/>
      </c>
      <c r="Z118" s="315" t="str">
        <f t="shared" ca="1" si="52"/>
        <v/>
      </c>
      <c r="AA118" s="316" t="str">
        <f t="shared" ca="1" si="53"/>
        <v/>
      </c>
      <c r="AC118" s="310" t="e">
        <f t="shared" ca="1" si="54"/>
        <v>#N/A</v>
      </c>
      <c r="AD118" s="323" t="e">
        <f t="shared" ca="1" si="55"/>
        <v>#N/A</v>
      </c>
      <c r="AE118" s="324">
        <f t="shared" ca="1" si="34"/>
        <v>59.353679241673142</v>
      </c>
      <c r="AG118" s="306">
        <f t="shared" ca="1" si="56"/>
        <v>82.358972602305343</v>
      </c>
      <c r="AH118" s="304">
        <f t="shared" ca="1" si="57"/>
        <v>92.120062113298204</v>
      </c>
    </row>
    <row r="119" spans="1:34" x14ac:dyDescent="0.2">
      <c r="A119" s="347">
        <f t="shared" ca="1" si="35"/>
        <v>0.01</v>
      </c>
      <c r="B119" s="304">
        <f t="shared" ca="1" si="36"/>
        <v>1.1500000000000008</v>
      </c>
      <c r="D119" s="306">
        <f t="shared" ca="1" si="37"/>
        <v>9.1721492485837359</v>
      </c>
      <c r="E119" s="307">
        <f t="shared" ca="1" si="38"/>
        <v>81.611107073456253</v>
      </c>
      <c r="F119" s="304">
        <f t="shared" ca="1" si="39"/>
        <v>82.124911686974968</v>
      </c>
      <c r="G119" s="306">
        <f t="shared" ca="1" si="40"/>
        <v>10.40084061969249</v>
      </c>
      <c r="H119" s="307">
        <f t="shared" ca="1" si="41"/>
        <v>103.56968147375675</v>
      </c>
      <c r="I119" s="304">
        <f t="shared" ca="1" si="42"/>
        <v>104.09061632141331</v>
      </c>
      <c r="J119" s="306">
        <f t="shared" ca="1" si="43"/>
        <v>5.7791902806506181</v>
      </c>
      <c r="K119" s="307">
        <f t="shared" ca="1" si="44"/>
        <v>60.385295501057037</v>
      </c>
      <c r="L119" s="304">
        <f t="shared" ca="1" si="29"/>
        <v>60.661214569524944</v>
      </c>
      <c r="M119" s="306">
        <f t="shared" ca="1" si="45"/>
        <v>1.4707082825813662</v>
      </c>
      <c r="N119" s="304">
        <f t="shared" ca="1" si="46"/>
        <v>84.265377486845935</v>
      </c>
      <c r="P119" s="310">
        <f t="shared" ca="1" si="47"/>
        <v>4</v>
      </c>
      <c r="Q119" s="304">
        <f t="shared" ca="1" si="48"/>
        <v>715.79999999999984</v>
      </c>
      <c r="R119" s="306">
        <f t="shared" ca="1" si="49"/>
        <v>0.35922666964637057</v>
      </c>
      <c r="S119" s="307">
        <f t="shared" ca="1" si="50"/>
        <v>7.4352891608408589</v>
      </c>
      <c r="T119" s="304">
        <f t="shared" ca="1" si="30"/>
        <v>72.940186667848835</v>
      </c>
      <c r="U119" s="311">
        <f t="shared" ca="1" si="31"/>
        <v>0</v>
      </c>
      <c r="V119" s="306">
        <f t="shared" ca="1" si="32"/>
        <v>1.2176250681730043</v>
      </c>
      <c r="W119" s="304">
        <f t="shared" ca="1" si="33"/>
        <v>33.162942633104251</v>
      </c>
      <c r="Y119" s="314" t="str">
        <f t="shared" ca="1" si="51"/>
        <v/>
      </c>
      <c r="Z119" s="315" t="str">
        <f t="shared" ca="1" si="52"/>
        <v/>
      </c>
      <c r="AA119" s="316" t="str">
        <f t="shared" ca="1" si="53"/>
        <v/>
      </c>
      <c r="AC119" s="310" t="e">
        <f t="shared" ca="1" si="54"/>
        <v>#N/A</v>
      </c>
      <c r="AD119" s="323" t="e">
        <f t="shared" ca="1" si="55"/>
        <v>#N/A</v>
      </c>
      <c r="AE119" s="324">
        <f t="shared" ca="1" si="34"/>
        <v>60.385295501057037</v>
      </c>
      <c r="AG119" s="306">
        <f t="shared" ca="1" si="56"/>
        <v>82.119072557026271</v>
      </c>
      <c r="AH119" s="304">
        <f t="shared" ca="1" si="57"/>
        <v>91.880069331572926</v>
      </c>
    </row>
    <row r="120" spans="1:34" x14ac:dyDescent="0.2">
      <c r="A120" s="347">
        <f t="shared" ca="1" si="35"/>
        <v>0.01</v>
      </c>
      <c r="B120" s="304">
        <f t="shared" ca="1" si="36"/>
        <v>1.1600000000000008</v>
      </c>
      <c r="D120" s="306">
        <f t="shared" ca="1" si="37"/>
        <v>9.1567034145173931</v>
      </c>
      <c r="E120" s="307">
        <f t="shared" ca="1" si="38"/>
        <v>81.370789194639741</v>
      </c>
      <c r="F120" s="304">
        <f t="shared" ca="1" si="39"/>
        <v>81.884373060920083</v>
      </c>
      <c r="G120" s="306">
        <f t="shared" ca="1" si="40"/>
        <v>10.492407653837663</v>
      </c>
      <c r="H120" s="307">
        <f t="shared" ca="1" si="41"/>
        <v>104.38338936570314</v>
      </c>
      <c r="I120" s="304">
        <f t="shared" ca="1" si="42"/>
        <v>104.9094018372343</v>
      </c>
      <c r="J120" s="306">
        <f t="shared" ca="1" si="43"/>
        <v>5.8836565220182688</v>
      </c>
      <c r="K120" s="307">
        <f t="shared" ca="1" si="44"/>
        <v>61.425060855254337</v>
      </c>
      <c r="L120" s="304">
        <f t="shared" ca="1" si="29"/>
        <v>61.706203214432072</v>
      </c>
      <c r="M120" s="306">
        <f t="shared" ca="1" si="45"/>
        <v>1.4706148471793401</v>
      </c>
      <c r="N120" s="304">
        <f t="shared" ca="1" si="46"/>
        <v>84.260024032652723</v>
      </c>
      <c r="P120" s="310">
        <f t="shared" ca="1" si="47"/>
        <v>4</v>
      </c>
      <c r="Q120" s="304">
        <f t="shared" ca="1" si="48"/>
        <v>714.19999999999982</v>
      </c>
      <c r="R120" s="306">
        <f t="shared" ca="1" si="49"/>
        <v>0.35842370419312358</v>
      </c>
      <c r="S120" s="307">
        <f t="shared" ca="1" si="50"/>
        <v>7.4317049237989279</v>
      </c>
      <c r="T120" s="304">
        <f t="shared" ca="1" si="30"/>
        <v>72.905025302467493</v>
      </c>
      <c r="U120" s="311">
        <f t="shared" ca="1" si="31"/>
        <v>0</v>
      </c>
      <c r="V120" s="306">
        <f t="shared" ca="1" si="32"/>
        <v>1.2174984691446962</v>
      </c>
      <c r="W120" s="304">
        <f t="shared" ca="1" si="33"/>
        <v>33.683217095348382</v>
      </c>
      <c r="Y120" s="314" t="str">
        <f t="shared" ca="1" si="51"/>
        <v/>
      </c>
      <c r="Z120" s="315" t="str">
        <f t="shared" ca="1" si="52"/>
        <v/>
      </c>
      <c r="AA120" s="316" t="str">
        <f t="shared" ca="1" si="53"/>
        <v/>
      </c>
      <c r="AC120" s="310" t="e">
        <f t="shared" ca="1" si="54"/>
        <v>#N/A</v>
      </c>
      <c r="AD120" s="323" t="e">
        <f t="shared" ca="1" si="55"/>
        <v>#N/A</v>
      </c>
      <c r="AE120" s="324">
        <f t="shared" ca="1" si="34"/>
        <v>61.425060855254337</v>
      </c>
      <c r="AG120" s="306">
        <f t="shared" ca="1" si="56"/>
        <v>81.878505788229674</v>
      </c>
      <c r="AH120" s="304">
        <f t="shared" ca="1" si="57"/>
        <v>91.639410384281533</v>
      </c>
    </row>
    <row r="121" spans="1:34" x14ac:dyDescent="0.2">
      <c r="A121" s="347">
        <f t="shared" ca="1" si="35"/>
        <v>0.01</v>
      </c>
      <c r="B121" s="304">
        <f t="shared" ca="1" si="36"/>
        <v>1.1700000000000008</v>
      </c>
      <c r="D121" s="306">
        <f t="shared" ca="1" si="37"/>
        <v>9.1410875543376129</v>
      </c>
      <c r="E121" s="307">
        <f t="shared" ca="1" si="38"/>
        <v>81.129823622027288</v>
      </c>
      <c r="F121" s="304">
        <f t="shared" ca="1" si="39"/>
        <v>81.643173398743656</v>
      </c>
      <c r="G121" s="306">
        <f t="shared" ca="1" si="40"/>
        <v>10.583818529381039</v>
      </c>
      <c r="H121" s="307">
        <f t="shared" ca="1" si="41"/>
        <v>105.19468760192341</v>
      </c>
      <c r="I121" s="304">
        <f t="shared" ca="1" si="42"/>
        <v>105.72577507083658</v>
      </c>
      <c r="J121" s="306">
        <f t="shared" ca="1" si="43"/>
        <v>5.9890376529343623</v>
      </c>
      <c r="K121" s="307">
        <f t="shared" ca="1" si="44"/>
        <v>62.47295124009247</v>
      </c>
      <c r="L121" s="304">
        <f t="shared" ca="1" si="29"/>
        <v>62.759367497252846</v>
      </c>
      <c r="M121" s="306">
        <f t="shared" ca="1" si="45"/>
        <v>1.4705220469872593</v>
      </c>
      <c r="N121" s="304">
        <f t="shared" ca="1" si="46"/>
        <v>84.254706973308487</v>
      </c>
      <c r="P121" s="310">
        <f t="shared" ca="1" si="47"/>
        <v>4</v>
      </c>
      <c r="Q121" s="304">
        <f t="shared" ca="1" si="48"/>
        <v>712.59999999999991</v>
      </c>
      <c r="R121" s="306">
        <f t="shared" ca="1" si="49"/>
        <v>0.3576207387398766</v>
      </c>
      <c r="S121" s="307">
        <f t="shared" ca="1" si="50"/>
        <v>7.4281287164115293</v>
      </c>
      <c r="T121" s="304">
        <f t="shared" ca="1" si="30"/>
        <v>72.869942707997112</v>
      </c>
      <c r="U121" s="311">
        <f t="shared" ca="1" si="31"/>
        <v>0</v>
      </c>
      <c r="V121" s="306">
        <f t="shared" ca="1" si="32"/>
        <v>1.217370894111099</v>
      </c>
      <c r="W121" s="304">
        <f t="shared" ca="1" si="33"/>
        <v>34.205897365916627</v>
      </c>
      <c r="Y121" s="314" t="str">
        <f t="shared" ca="1" si="51"/>
        <v/>
      </c>
      <c r="Z121" s="315" t="str">
        <f t="shared" ca="1" si="52"/>
        <v/>
      </c>
      <c r="AA121" s="316" t="str">
        <f t="shared" ca="1" si="53"/>
        <v/>
      </c>
      <c r="AC121" s="310" t="e">
        <f t="shared" ca="1" si="54"/>
        <v>#N/A</v>
      </c>
      <c r="AD121" s="323" t="e">
        <f t="shared" ca="1" si="55"/>
        <v>#N/A</v>
      </c>
      <c r="AE121" s="324">
        <f t="shared" ca="1" si="34"/>
        <v>62.47295124009247</v>
      </c>
      <c r="AG121" s="306">
        <f t="shared" ca="1" si="56"/>
        <v>81.637277835366703</v>
      </c>
      <c r="AH121" s="304">
        <f t="shared" ca="1" si="57"/>
        <v>91.398090801074716</v>
      </c>
    </row>
    <row r="122" spans="1:34" x14ac:dyDescent="0.2">
      <c r="A122" s="347">
        <f t="shared" ca="1" si="35"/>
        <v>0.01</v>
      </c>
      <c r="B122" s="304">
        <f t="shared" ca="1" si="36"/>
        <v>1.1800000000000008</v>
      </c>
      <c r="D122" s="306">
        <f t="shared" ca="1" si="37"/>
        <v>9.1253035530274875</v>
      </c>
      <c r="E122" s="307">
        <f t="shared" ca="1" si="38"/>
        <v>80.888215759145865</v>
      </c>
      <c r="F122" s="304">
        <f t="shared" ca="1" si="39"/>
        <v>81.401318254884728</v>
      </c>
      <c r="G122" s="306">
        <f t="shared" ca="1" si="40"/>
        <v>10.675071564911315</v>
      </c>
      <c r="H122" s="307">
        <f t="shared" ca="1" si="41"/>
        <v>106.00356975951486</v>
      </c>
      <c r="I122" s="304">
        <f t="shared" ca="1" si="42"/>
        <v>106.53972946594294</v>
      </c>
      <c r="J122" s="306">
        <f t="shared" ca="1" si="43"/>
        <v>6.0953321034058243</v>
      </c>
      <c r="K122" s="307">
        <f t="shared" ca="1" si="44"/>
        <v>63.528942526899662</v>
      </c>
      <c r="L122" s="304">
        <f t="shared" ca="1" si="29"/>
        <v>63.820683262065835</v>
      </c>
      <c r="M122" s="306">
        <f t="shared" ca="1" si="45"/>
        <v>1.4704298707606589</v>
      </c>
      <c r="N122" s="304">
        <f t="shared" ca="1" si="46"/>
        <v>84.249425664552845</v>
      </c>
      <c r="P122" s="310">
        <f t="shared" ca="1" si="47"/>
        <v>4</v>
      </c>
      <c r="Q122" s="304">
        <f t="shared" ca="1" si="48"/>
        <v>710.99999999999989</v>
      </c>
      <c r="R122" s="306">
        <f t="shared" ca="1" si="49"/>
        <v>0.35681777328662961</v>
      </c>
      <c r="S122" s="307">
        <f t="shared" ca="1" si="50"/>
        <v>7.4245605386786631</v>
      </c>
      <c r="T122" s="304">
        <f t="shared" ca="1" si="30"/>
        <v>72.83493888443769</v>
      </c>
      <c r="U122" s="311">
        <f t="shared" ca="1" si="31"/>
        <v>0</v>
      </c>
      <c r="V122" s="306">
        <f t="shared" ca="1" si="32"/>
        <v>1.2172423463172026</v>
      </c>
      <c r="W122" s="304">
        <f t="shared" ca="1" si="33"/>
        <v>34.730941043545727</v>
      </c>
      <c r="Y122" s="314" t="str">
        <f t="shared" ca="1" si="51"/>
        <v/>
      </c>
      <c r="Z122" s="315" t="str">
        <f t="shared" ca="1" si="52"/>
        <v/>
      </c>
      <c r="AA122" s="316" t="str">
        <f t="shared" ca="1" si="53"/>
        <v/>
      </c>
      <c r="AC122" s="310" t="e">
        <f t="shared" ca="1" si="54"/>
        <v>#N/A</v>
      </c>
      <c r="AD122" s="323" t="e">
        <f t="shared" ca="1" si="55"/>
        <v>#N/A</v>
      </c>
      <c r="AE122" s="324">
        <f t="shared" ca="1" si="34"/>
        <v>63.528942526899662</v>
      </c>
      <c r="AG122" s="306">
        <f t="shared" ca="1" si="56"/>
        <v>81.395394250127907</v>
      </c>
      <c r="AH122" s="304">
        <f t="shared" ca="1" si="57"/>
        <v>91.156116124083923</v>
      </c>
    </row>
    <row r="123" spans="1:34" x14ac:dyDescent="0.2">
      <c r="A123" s="347">
        <f t="shared" ca="1" si="35"/>
        <v>0.01</v>
      </c>
      <c r="B123" s="304">
        <f t="shared" ca="1" si="36"/>
        <v>1.1900000000000008</v>
      </c>
      <c r="D123" s="306">
        <f t="shared" ca="1" si="37"/>
        <v>9.1093532637406263</v>
      </c>
      <c r="E123" s="307">
        <f t="shared" ca="1" si="38"/>
        <v>80.645971024210652</v>
      </c>
      <c r="F123" s="304">
        <f t="shared" ca="1" si="39"/>
        <v>81.158813195619402</v>
      </c>
      <c r="G123" s="306">
        <f t="shared" ca="1" si="40"/>
        <v>10.766165097548722</v>
      </c>
      <c r="H123" s="307">
        <f t="shared" ca="1" si="41"/>
        <v>106.81002946975697</v>
      </c>
      <c r="I123" s="304">
        <f t="shared" ca="1" si="42"/>
        <v>107.35125852191035</v>
      </c>
      <c r="J123" s="306">
        <f t="shared" ca="1" si="43"/>
        <v>6.2025382867181245</v>
      </c>
      <c r="K123" s="307">
        <f t="shared" ca="1" si="44"/>
        <v>64.593010523046019</v>
      </c>
      <c r="L123" s="304">
        <f t="shared" ca="1" si="29"/>
        <v>64.890126287660564</v>
      </c>
      <c r="M123" s="306">
        <f t="shared" ca="1" si="45"/>
        <v>1.4703383075372396</v>
      </c>
      <c r="N123" s="304">
        <f t="shared" ca="1" si="46"/>
        <v>84.24417947829231</v>
      </c>
      <c r="P123" s="310">
        <f t="shared" ca="1" si="47"/>
        <v>4</v>
      </c>
      <c r="Q123" s="304">
        <f t="shared" ca="1" si="48"/>
        <v>709.39999999999986</v>
      </c>
      <c r="R123" s="306">
        <f t="shared" ca="1" si="49"/>
        <v>0.35601480783338263</v>
      </c>
      <c r="S123" s="307">
        <f t="shared" ca="1" si="50"/>
        <v>7.4210003906003292</v>
      </c>
      <c r="T123" s="304">
        <f t="shared" ca="1" si="30"/>
        <v>72.800013831789229</v>
      </c>
      <c r="U123" s="311">
        <f t="shared" ca="1" si="31"/>
        <v>0</v>
      </c>
      <c r="V123" s="306">
        <f t="shared" ca="1" si="32"/>
        <v>1.2171128290168423</v>
      </c>
      <c r="W123" s="304">
        <f t="shared" ca="1" si="33"/>
        <v>35.258305751009196</v>
      </c>
      <c r="Y123" s="314" t="str">
        <f t="shared" ca="1" si="51"/>
        <v/>
      </c>
      <c r="Z123" s="315" t="str">
        <f t="shared" ca="1" si="52"/>
        <v/>
      </c>
      <c r="AA123" s="316" t="str">
        <f t="shared" ca="1" si="53"/>
        <v/>
      </c>
      <c r="AC123" s="310" t="e">
        <f t="shared" ca="1" si="54"/>
        <v>#N/A</v>
      </c>
      <c r="AD123" s="323" t="e">
        <f t="shared" ca="1" si="55"/>
        <v>#N/A</v>
      </c>
      <c r="AE123" s="324">
        <f t="shared" ca="1" si="34"/>
        <v>64.593010523046019</v>
      </c>
      <c r="AG123" s="306">
        <f t="shared" ca="1" si="56"/>
        <v>81.152860596037499</v>
      </c>
      <c r="AH123" s="304">
        <f t="shared" ca="1" si="57"/>
        <v>90.913491907507648</v>
      </c>
    </row>
    <row r="124" spans="1:34" x14ac:dyDescent="0.2">
      <c r="A124" s="347">
        <f t="shared" ca="1" si="35"/>
        <v>0.01</v>
      </c>
      <c r="B124" s="304">
        <f t="shared" ca="1" si="36"/>
        <v>1.2000000000000008</v>
      </c>
      <c r="D124" s="306">
        <f t="shared" ca="1" si="37"/>
        <v>9.0932385089066852</v>
      </c>
      <c r="E124" s="307">
        <f t="shared" ca="1" si="38"/>
        <v>80.403094849622022</v>
      </c>
      <c r="F124" s="304">
        <f t="shared" ca="1" si="39"/>
        <v>80.915663798656311</v>
      </c>
      <c r="G124" s="306">
        <f t="shared" ca="1" si="40"/>
        <v>10.857097482637789</v>
      </c>
      <c r="H124" s="307">
        <f t="shared" ca="1" si="41"/>
        <v>107.61406041825319</v>
      </c>
      <c r="I124" s="304">
        <f t="shared" ca="1" si="42"/>
        <v>108.16035579384412</v>
      </c>
      <c r="J124" s="306">
        <f t="shared" ca="1" si="43"/>
        <v>6.3106545996190571</v>
      </c>
      <c r="K124" s="307">
        <f t="shared" ca="1" si="44"/>
        <v>65.665130972486068</v>
      </c>
      <c r="L124" s="304">
        <f t="shared" ca="1" si="29"/>
        <v>65.96767228809459</v>
      </c>
      <c r="M124" s="306">
        <f t="shared" ca="1" si="45"/>
        <v>1.470247346627362</v>
      </c>
      <c r="N124" s="304">
        <f t="shared" ca="1" si="46"/>
        <v>84.238967802055654</v>
      </c>
      <c r="P124" s="310">
        <f t="shared" ca="1" si="47"/>
        <v>4</v>
      </c>
      <c r="Q124" s="304">
        <f t="shared" ca="1" si="48"/>
        <v>707.79999999999984</v>
      </c>
      <c r="R124" s="306">
        <f t="shared" ca="1" si="49"/>
        <v>0.35521184238013565</v>
      </c>
      <c r="S124" s="307">
        <f t="shared" ca="1" si="50"/>
        <v>7.4174482721765278</v>
      </c>
      <c r="T124" s="304">
        <f t="shared" ca="1" si="30"/>
        <v>72.765167550051743</v>
      </c>
      <c r="U124" s="311">
        <f t="shared" ca="1" si="31"/>
        <v>0</v>
      </c>
      <c r="V124" s="306">
        <f t="shared" ca="1" si="32"/>
        <v>1.2169823454726021</v>
      </c>
      <c r="W124" s="304">
        <f t="shared" ca="1" si="33"/>
        <v>35.787949137939727</v>
      </c>
      <c r="Y124" s="314" t="str">
        <f t="shared" ca="1" si="51"/>
        <v/>
      </c>
      <c r="Z124" s="315" t="str">
        <f t="shared" ca="1" si="52"/>
        <v/>
      </c>
      <c r="AA124" s="316" t="str">
        <f t="shared" ca="1" si="53"/>
        <v/>
      </c>
      <c r="AC124" s="310" t="e">
        <f t="shared" ca="1" si="54"/>
        <v>#N/A</v>
      </c>
      <c r="AD124" s="323" t="e">
        <f t="shared" ca="1" si="55"/>
        <v>#N/A</v>
      </c>
      <c r="AE124" s="324">
        <f t="shared" ca="1" si="34"/>
        <v>65.665130972486068</v>
      </c>
      <c r="AG124" s="306">
        <f t="shared" ca="1" si="56"/>
        <v>80.909682448047974</v>
      </c>
      <c r="AH124" s="304">
        <f t="shared" ca="1" si="57"/>
        <v>90.670223717198155</v>
      </c>
    </row>
    <row r="125" spans="1:34" x14ac:dyDescent="0.2">
      <c r="A125" s="347">
        <f t="shared" ca="1" si="35"/>
        <v>0.01</v>
      </c>
      <c r="B125" s="304">
        <f t="shared" ca="1" si="36"/>
        <v>1.2100000000000009</v>
      </c>
      <c r="D125" s="306">
        <f t="shared" ca="1" si="37"/>
        <v>9.0769610812883759</v>
      </c>
      <c r="E125" s="307">
        <f t="shared" ca="1" si="38"/>
        <v>80.159592681466734</v>
      </c>
      <c r="F125" s="304">
        <f t="shared" ca="1" si="39"/>
        <v>80.671875652732155</v>
      </c>
      <c r="G125" s="306">
        <f t="shared" ca="1" si="40"/>
        <v>10.947867093450673</v>
      </c>
      <c r="H125" s="307">
        <f t="shared" ca="1" si="41"/>
        <v>108.41565634506786</v>
      </c>
      <c r="I125" s="304">
        <f t="shared" ca="1" si="42"/>
        <v>108.96701489270831</v>
      </c>
      <c r="J125" s="306">
        <f t="shared" ca="1" si="43"/>
        <v>6.4196794224994997</v>
      </c>
      <c r="K125" s="307">
        <f t="shared" ca="1" si="44"/>
        <v>66.745279556302677</v>
      </c>
      <c r="L125" s="304">
        <f t="shared" ca="1" si="29"/>
        <v>67.053296913251472</v>
      </c>
      <c r="M125" s="306">
        <f t="shared" ca="1" si="45"/>
        <v>1.4701569776049415</v>
      </c>
      <c r="N125" s="304">
        <f t="shared" ca="1" si="46"/>
        <v>84.233790038472236</v>
      </c>
      <c r="P125" s="310">
        <f t="shared" ca="1" si="47"/>
        <v>4</v>
      </c>
      <c r="Q125" s="304">
        <f t="shared" ca="1" si="48"/>
        <v>706.19999999999982</v>
      </c>
      <c r="R125" s="306">
        <f t="shared" ca="1" si="49"/>
        <v>0.35440887692688861</v>
      </c>
      <c r="S125" s="307">
        <f t="shared" ca="1" si="50"/>
        <v>7.4139041834072588</v>
      </c>
      <c r="T125" s="304">
        <f t="shared" ca="1" si="30"/>
        <v>72.730400039225216</v>
      </c>
      <c r="U125" s="311">
        <f t="shared" ca="1" si="31"/>
        <v>0</v>
      </c>
      <c r="V125" s="306">
        <f t="shared" ca="1" si="32"/>
        <v>1.2168508989557194</v>
      </c>
      <c r="W125" s="304">
        <f t="shared" ca="1" si="33"/>
        <v>36.319828883638721</v>
      </c>
      <c r="Y125" s="314" t="str">
        <f t="shared" ca="1" si="51"/>
        <v/>
      </c>
      <c r="Z125" s="315" t="str">
        <f t="shared" ca="1" si="52"/>
        <v/>
      </c>
      <c r="AA125" s="316" t="str">
        <f t="shared" ca="1" si="53"/>
        <v/>
      </c>
      <c r="AC125" s="310" t="e">
        <f t="shared" ca="1" si="54"/>
        <v>#N/A</v>
      </c>
      <c r="AD125" s="323" t="e">
        <f t="shared" ca="1" si="55"/>
        <v>#N/A</v>
      </c>
      <c r="AE125" s="324">
        <f t="shared" ca="1" si="34"/>
        <v>66.745279556302677</v>
      </c>
      <c r="AG125" s="306">
        <f t="shared" ca="1" si="56"/>
        <v>80.665865392134322</v>
      </c>
      <c r="AH125" s="304">
        <f t="shared" ca="1" si="57"/>
        <v>90.426317130248407</v>
      </c>
    </row>
    <row r="126" spans="1:34" x14ac:dyDescent="0.2">
      <c r="A126" s="347">
        <f t="shared" ca="1" si="35"/>
        <v>0.01</v>
      </c>
      <c r="B126" s="304">
        <f t="shared" ca="1" si="36"/>
        <v>1.2200000000000009</v>
      </c>
      <c r="D126" s="306">
        <f t="shared" ca="1" si="37"/>
        <v>9.0605227449921824</v>
      </c>
      <c r="E126" s="307">
        <f t="shared" ca="1" si="38"/>
        <v>79.915469979023129</v>
      </c>
      <c r="F126" s="304">
        <f t="shared" ca="1" si="39"/>
        <v>80.427454357207324</v>
      </c>
      <c r="G126" s="306">
        <f t="shared" ca="1" si="40"/>
        <v>11.038472320900595</v>
      </c>
      <c r="H126" s="307">
        <f t="shared" ca="1" si="41"/>
        <v>109.2148110448581</v>
      </c>
      <c r="I126" s="304">
        <f t="shared" ca="1" si="42"/>
        <v>109.77122948543186</v>
      </c>
      <c r="J126" s="306">
        <f t="shared" ca="1" si="43"/>
        <v>6.5296111195712561</v>
      </c>
      <c r="K126" s="307">
        <f t="shared" ca="1" si="44"/>
        <v>67.83343189325231</v>
      </c>
      <c r="L126" s="304">
        <f t="shared" ca="1" si="29"/>
        <v>68.146975749400127</v>
      </c>
      <c r="M126" s="306">
        <f t="shared" ca="1" si="45"/>
        <v>1.4700671902987175</v>
      </c>
      <c r="N126" s="304">
        <f t="shared" ca="1" si="46"/>
        <v>84.228645604771742</v>
      </c>
      <c r="P126" s="310">
        <f t="shared" ca="1" si="47"/>
        <v>4</v>
      </c>
      <c r="Q126" s="304">
        <f t="shared" ca="1" si="48"/>
        <v>704.5999999999998</v>
      </c>
      <c r="R126" s="306">
        <f t="shared" ca="1" si="49"/>
        <v>0.35360591147364162</v>
      </c>
      <c r="S126" s="307">
        <f t="shared" ca="1" si="50"/>
        <v>7.4103681242925221</v>
      </c>
      <c r="T126" s="304">
        <f t="shared" ca="1" si="30"/>
        <v>72.69571129930965</v>
      </c>
      <c r="U126" s="311">
        <f t="shared" ca="1" si="31"/>
        <v>0</v>
      </c>
      <c r="V126" s="306">
        <f t="shared" ca="1" si="32"/>
        <v>1.2167184927459909</v>
      </c>
      <c r="W126" s="304">
        <f t="shared" ca="1" si="33"/>
        <v>36.853902699872528</v>
      </c>
      <c r="Y126" s="314" t="str">
        <f t="shared" ca="1" si="51"/>
        <v/>
      </c>
      <c r="Z126" s="315" t="str">
        <f t="shared" ca="1" si="52"/>
        <v/>
      </c>
      <c r="AA126" s="316" t="str">
        <f t="shared" ca="1" si="53"/>
        <v/>
      </c>
      <c r="AC126" s="310" t="e">
        <f t="shared" ca="1" si="54"/>
        <v>#N/A</v>
      </c>
      <c r="AD126" s="323" t="e">
        <f t="shared" ca="1" si="55"/>
        <v>#N/A</v>
      </c>
      <c r="AE126" s="324">
        <f t="shared" ca="1" si="34"/>
        <v>67.83343189325231</v>
      </c>
      <c r="AG126" s="306">
        <f t="shared" ca="1" si="56"/>
        <v>80.421415024888674</v>
      </c>
      <c r="AH126" s="304">
        <f t="shared" ca="1" si="57"/>
        <v>90.181777734579512</v>
      </c>
    </row>
    <row r="127" spans="1:34" x14ac:dyDescent="0.2">
      <c r="A127" s="347">
        <f t="shared" ca="1" si="35"/>
        <v>0.01</v>
      </c>
      <c r="B127" s="304">
        <f t="shared" ca="1" si="36"/>
        <v>1.2300000000000009</v>
      </c>
      <c r="D127" s="306">
        <f t="shared" ca="1" si="37"/>
        <v>9.0439252364356175</v>
      </c>
      <c r="E127" s="307">
        <f t="shared" ca="1" si="38"/>
        <v>79.670732214270132</v>
      </c>
      <c r="F127" s="304">
        <f t="shared" ca="1" si="39"/>
        <v>80.182405521661522</v>
      </c>
      <c r="G127" s="306">
        <f t="shared" ca="1" si="40"/>
        <v>11.128911573264952</v>
      </c>
      <c r="H127" s="307">
        <f t="shared" ca="1" si="41"/>
        <v>110.01151836700079</v>
      </c>
      <c r="I127" s="304">
        <f t="shared" ca="1" si="42"/>
        <v>110.5729932950108</v>
      </c>
      <c r="J127" s="306">
        <f t="shared" ca="1" si="43"/>
        <v>6.6404480390420835</v>
      </c>
      <c r="K127" s="307">
        <f t="shared" ca="1" si="44"/>
        <v>68.929563540311605</v>
      </c>
      <c r="L127" s="304">
        <f t="shared" ca="1" si="29"/>
        <v>69.248684319754943</v>
      </c>
      <c r="M127" s="306">
        <f t="shared" ca="1" si="45"/>
        <v>1.4699779747838864</v>
      </c>
      <c r="N127" s="304">
        <f t="shared" ca="1" si="46"/>
        <v>84.223533932304846</v>
      </c>
      <c r="P127" s="310">
        <f t="shared" ca="1" si="47"/>
        <v>4</v>
      </c>
      <c r="Q127" s="304">
        <f t="shared" ca="1" si="48"/>
        <v>702.99999999999989</v>
      </c>
      <c r="R127" s="306">
        <f t="shared" ca="1" si="49"/>
        <v>0.35280294602039469</v>
      </c>
      <c r="S127" s="307">
        <f t="shared" ca="1" si="50"/>
        <v>7.4068400948323179</v>
      </c>
      <c r="T127" s="304">
        <f t="shared" ca="1" si="30"/>
        <v>72.661101330305044</v>
      </c>
      <c r="U127" s="311">
        <f t="shared" ca="1" si="31"/>
        <v>0</v>
      </c>
      <c r="V127" s="306">
        <f t="shared" ca="1" si="32"/>
        <v>1.2165851301316757</v>
      </c>
      <c r="W127" s="304">
        <f t="shared" ca="1" si="33"/>
        <v>37.390128333654935</v>
      </c>
      <c r="Y127" s="314" t="str">
        <f t="shared" ca="1" si="51"/>
        <v/>
      </c>
      <c r="Z127" s="315" t="str">
        <f t="shared" ca="1" si="52"/>
        <v/>
      </c>
      <c r="AA127" s="316" t="str">
        <f t="shared" ca="1" si="53"/>
        <v/>
      </c>
      <c r="AC127" s="310" t="e">
        <f t="shared" ca="1" si="54"/>
        <v>#N/A</v>
      </c>
      <c r="AD127" s="323" t="e">
        <f t="shared" ca="1" si="55"/>
        <v>#N/A</v>
      </c>
      <c r="AE127" s="324">
        <f t="shared" ca="1" si="34"/>
        <v>68.929563540311605</v>
      </c>
      <c r="AG127" s="306">
        <f t="shared" ca="1" si="56"/>
        <v>80.176336953114941</v>
      </c>
      <c r="AH127" s="304">
        <f t="shared" ca="1" si="57"/>
        <v>89.936611128528511</v>
      </c>
    </row>
    <row r="128" spans="1:34" x14ac:dyDescent="0.2">
      <c r="A128" s="347">
        <f t="shared" ca="1" si="35"/>
        <v>0.01</v>
      </c>
      <c r="B128" s="304">
        <f t="shared" ca="1" si="36"/>
        <v>1.2400000000000009</v>
      </c>
      <c r="D128" s="306">
        <f t="shared" ca="1" si="37"/>
        <v>9.0271702652725612</v>
      </c>
      <c r="E128" s="307">
        <f t="shared" ca="1" si="38"/>
        <v>79.42538487140007</v>
      </c>
      <c r="F128" s="304">
        <f t="shared" ca="1" si="39"/>
        <v>79.936734765489689</v>
      </c>
      <c r="G128" s="306">
        <f t="shared" ca="1" si="40"/>
        <v>11.219183275917677</v>
      </c>
      <c r="H128" s="307">
        <f t="shared" ca="1" si="41"/>
        <v>110.8057722157148</v>
      </c>
      <c r="I128" s="304">
        <f t="shared" ca="1" si="42"/>
        <v>111.37230010060628</v>
      </c>
      <c r="J128" s="306">
        <f t="shared" ca="1" si="43"/>
        <v>6.7521885132879964</v>
      </c>
      <c r="K128" s="307">
        <f t="shared" ca="1" si="44"/>
        <v>70.033649993225183</v>
      </c>
      <c r="L128" s="304">
        <f t="shared" ca="1" si="29"/>
        <v>70.358398085037066</v>
      </c>
      <c r="M128" s="306">
        <f t="shared" ca="1" si="45"/>
        <v>1.4698893213740729</v>
      </c>
      <c r="N128" s="304">
        <f t="shared" ca="1" si="46"/>
        <v>84.218454466083088</v>
      </c>
      <c r="P128" s="310">
        <f t="shared" ca="1" si="47"/>
        <v>4</v>
      </c>
      <c r="Q128" s="304">
        <f t="shared" ca="1" si="48"/>
        <v>701.39999999999986</v>
      </c>
      <c r="R128" s="306">
        <f t="shared" ca="1" si="49"/>
        <v>0.35199998056714771</v>
      </c>
      <c r="S128" s="307">
        <f t="shared" ca="1" si="50"/>
        <v>7.403320095026646</v>
      </c>
      <c r="T128" s="304">
        <f t="shared" ca="1" si="30"/>
        <v>72.626570132211398</v>
      </c>
      <c r="U128" s="311">
        <f t="shared" ca="1" si="31"/>
        <v>0</v>
      </c>
      <c r="V128" s="306">
        <f t="shared" ca="1" si="32"/>
        <v>1.2164508144093993</v>
      </c>
      <c r="W128" s="304">
        <f t="shared" ca="1" si="33"/>
        <v>37.928463570015808</v>
      </c>
      <c r="Y128" s="314" t="str">
        <f t="shared" ca="1" si="51"/>
        <v/>
      </c>
      <c r="Z128" s="315" t="str">
        <f t="shared" ca="1" si="52"/>
        <v/>
      </c>
      <c r="AA128" s="316" t="str">
        <f t="shared" ca="1" si="53"/>
        <v/>
      </c>
      <c r="AC128" s="310" t="e">
        <f t="shared" ca="1" si="54"/>
        <v>#N/A</v>
      </c>
      <c r="AD128" s="323" t="e">
        <f t="shared" ca="1" si="55"/>
        <v>#N/A</v>
      </c>
      <c r="AE128" s="324">
        <f t="shared" ca="1" si="34"/>
        <v>70.033649993225183</v>
      </c>
      <c r="AG128" s="306">
        <f t="shared" ca="1" si="56"/>
        <v>79.930636793423503</v>
      </c>
      <c r="AH128" s="304">
        <f t="shared" ca="1" si="57"/>
        <v>89.690822920436617</v>
      </c>
    </row>
    <row r="129" spans="1:34" x14ac:dyDescent="0.2">
      <c r="A129" s="347">
        <f t="shared" ca="1" si="35"/>
        <v>0.01</v>
      </c>
      <c r="B129" s="304">
        <f t="shared" ca="1" si="36"/>
        <v>1.2500000000000009</v>
      </c>
      <c r="D129" s="306">
        <f t="shared" ca="1" si="37"/>
        <v>9.0102595152792908</v>
      </c>
      <c r="E129" s="307">
        <f t="shared" ca="1" si="38"/>
        <v>79.179433446335239</v>
      </c>
      <c r="F129" s="304">
        <f t="shared" ca="1" si="39"/>
        <v>79.690447717498188</v>
      </c>
      <c r="G129" s="306">
        <f t="shared" ca="1" si="40"/>
        <v>11.30928587107047</v>
      </c>
      <c r="H129" s="307">
        <f t="shared" ca="1" si="41"/>
        <v>111.59756655017814</v>
      </c>
      <c r="I129" s="304">
        <f t="shared" ca="1" si="42"/>
        <v>112.16914373763862</v>
      </c>
      <c r="J129" s="306">
        <f t="shared" ca="1" si="43"/>
        <v>6.8648308590229368</v>
      </c>
      <c r="K129" s="307">
        <f t="shared" ca="1" si="44"/>
        <v>71.145666687054643</v>
      </c>
      <c r="L129" s="304">
        <f t="shared" ca="1" si="29"/>
        <v>71.476092444036624</v>
      </c>
      <c r="M129" s="306">
        <f t="shared" ca="1" si="45"/>
        <v>1.4698012206136299</v>
      </c>
      <c r="N129" s="304">
        <f t="shared" ca="1" si="46"/>
        <v>84.213406664337811</v>
      </c>
      <c r="P129" s="310">
        <f t="shared" ca="1" si="47"/>
        <v>4</v>
      </c>
      <c r="Q129" s="304">
        <f t="shared" ca="1" si="48"/>
        <v>699.79999999999984</v>
      </c>
      <c r="R129" s="306">
        <f t="shared" ca="1" si="49"/>
        <v>0.35119701511390067</v>
      </c>
      <c r="S129" s="307">
        <f t="shared" ca="1" si="50"/>
        <v>7.3998081248755074</v>
      </c>
      <c r="T129" s="304">
        <f t="shared" ca="1" si="30"/>
        <v>72.592117705028727</v>
      </c>
      <c r="U129" s="311">
        <f t="shared" ca="1" si="31"/>
        <v>0</v>
      </c>
      <c r="V129" s="306">
        <f t="shared" ca="1" si="32"/>
        <v>1.2163155488840587</v>
      </c>
      <c r="W129" s="304">
        <f t="shared" ca="1" si="33"/>
        <v>38.468866234755616</v>
      </c>
      <c r="Y129" s="314" t="str">
        <f t="shared" ca="1" si="51"/>
        <v/>
      </c>
      <c r="Z129" s="315" t="str">
        <f t="shared" ca="1" si="52"/>
        <v/>
      </c>
      <c r="AA129" s="316" t="str">
        <f t="shared" ca="1" si="53"/>
        <v/>
      </c>
      <c r="AC129" s="310" t="e">
        <f t="shared" ca="1" si="54"/>
        <v>#N/A</v>
      </c>
      <c r="AD129" s="323" t="e">
        <f t="shared" ca="1" si="55"/>
        <v>#N/A</v>
      </c>
      <c r="AE129" s="324">
        <f t="shared" ca="1" si="34"/>
        <v>71.145666687054643</v>
      </c>
      <c r="AG129" s="306">
        <f t="shared" ca="1" si="56"/>
        <v>79.684320171826641</v>
      </c>
      <c r="AH129" s="304">
        <f t="shared" ca="1" si="57"/>
        <v>89.444418728238205</v>
      </c>
    </row>
    <row r="130" spans="1:34" x14ac:dyDescent="0.2">
      <c r="A130" s="347">
        <f t="shared" ca="1" si="35"/>
        <v>0.01</v>
      </c>
      <c r="B130" s="304">
        <f t="shared" ca="1" si="36"/>
        <v>1.2600000000000009</v>
      </c>
      <c r="D130" s="306">
        <f t="shared" ca="1" si="37"/>
        <v>8.9931946452026139</v>
      </c>
      <c r="E130" s="307">
        <f t="shared" ca="1" si="38"/>
        <v>78.932883446247786</v>
      </c>
      <c r="F130" s="304">
        <f t="shared" ca="1" si="39"/>
        <v>79.443550015501188</v>
      </c>
      <c r="G130" s="306">
        <f t="shared" ca="1" si="40"/>
        <v>11.399217817522496</v>
      </c>
      <c r="H130" s="307">
        <f t="shared" ca="1" si="41"/>
        <v>112.38689538464062</v>
      </c>
      <c r="I130" s="304">
        <f t="shared" ca="1" si="42"/>
        <v>112.96351809787741</v>
      </c>
      <c r="J130" s="306">
        <f t="shared" ca="1" si="43"/>
        <v>6.9783733774659016</v>
      </c>
      <c r="K130" s="307">
        <f t="shared" ca="1" si="44"/>
        <v>72.265588996728738</v>
      </c>
      <c r="L130" s="304">
        <f t="shared" ca="1" si="29"/>
        <v>72.601742734175787</v>
      </c>
      <c r="M130" s="306">
        <f t="shared" ca="1" si="45"/>
        <v>1.4697136632702452</v>
      </c>
      <c r="N130" s="304">
        <f t="shared" ca="1" si="46"/>
        <v>84.208389998096493</v>
      </c>
      <c r="P130" s="310">
        <f t="shared" ca="1" si="47"/>
        <v>4</v>
      </c>
      <c r="Q130" s="304">
        <f t="shared" ca="1" si="48"/>
        <v>698.19999999999982</v>
      </c>
      <c r="R130" s="306">
        <f t="shared" ca="1" si="49"/>
        <v>0.35039404966065368</v>
      </c>
      <c r="S130" s="307">
        <f t="shared" ca="1" si="50"/>
        <v>7.3963041843789012</v>
      </c>
      <c r="T130" s="304">
        <f t="shared" ca="1" si="30"/>
        <v>72.55774404875703</v>
      </c>
      <c r="U130" s="311">
        <f t="shared" ca="1" si="31"/>
        <v>0</v>
      </c>
      <c r="V130" s="306">
        <f t="shared" ca="1" si="32"/>
        <v>1.216179336868727</v>
      </c>
      <c r="W130" s="304">
        <f t="shared" ca="1" si="33"/>
        <v>39.011294197185471</v>
      </c>
      <c r="Y130" s="314" t="str">
        <f t="shared" ca="1" si="51"/>
        <v/>
      </c>
      <c r="Z130" s="315" t="str">
        <f t="shared" ca="1" si="52"/>
        <v/>
      </c>
      <c r="AA130" s="316" t="str">
        <f t="shared" ca="1" si="53"/>
        <v/>
      </c>
      <c r="AC130" s="310" t="e">
        <f t="shared" ca="1" si="54"/>
        <v>#N/A</v>
      </c>
      <c r="AD130" s="323" t="e">
        <f t="shared" ca="1" si="55"/>
        <v>#N/A</v>
      </c>
      <c r="AE130" s="324">
        <f t="shared" ca="1" si="34"/>
        <v>72.265588996728738</v>
      </c>
      <c r="AG130" s="306">
        <f t="shared" ca="1" si="56"/>
        <v>79.43739272333373</v>
      </c>
      <c r="AH130" s="304">
        <f t="shared" ca="1" si="57"/>
        <v>89.197404179050082</v>
      </c>
    </row>
    <row r="131" spans="1:34" x14ac:dyDescent="0.2">
      <c r="A131" s="347">
        <f t="shared" ca="1" si="35"/>
        <v>0.01</v>
      </c>
      <c r="B131" s="304">
        <f t="shared" ca="1" si="36"/>
        <v>1.2700000000000009</v>
      </c>
      <c r="D131" s="306">
        <f t="shared" ca="1" si="37"/>
        <v>8.9759772895724037</v>
      </c>
      <c r="E131" s="307">
        <f t="shared" ca="1" si="38"/>
        <v>78.685740389083364</v>
      </c>
      <c r="F131" s="304">
        <f t="shared" ca="1" si="39"/>
        <v>79.196047305917645</v>
      </c>
      <c r="G131" s="306">
        <f t="shared" ca="1" si="40"/>
        <v>11.488977590418219</v>
      </c>
      <c r="H131" s="307">
        <f t="shared" ca="1" si="41"/>
        <v>113.17375278853146</v>
      </c>
      <c r="I131" s="304">
        <f t="shared" ca="1" si="42"/>
        <v>113.75541712952734</v>
      </c>
      <c r="J131" s="306">
        <f t="shared" ca="1" si="43"/>
        <v>7.092814354505605</v>
      </c>
      <c r="K131" s="307">
        <f t="shared" ca="1" si="44"/>
        <v>73.393392237594597</v>
      </c>
      <c r="L131" s="304">
        <f t="shared" ca="1" si="29"/>
        <v>73.735324232072728</v>
      </c>
      <c r="M131" s="306">
        <f t="shared" ca="1" si="45"/>
        <v>1.4696266403278435</v>
      </c>
      <c r="N131" s="304">
        <f t="shared" ca="1" si="46"/>
        <v>84.203403950776064</v>
      </c>
      <c r="P131" s="310">
        <f t="shared" ca="1" si="47"/>
        <v>4</v>
      </c>
      <c r="Q131" s="304">
        <f t="shared" ca="1" si="48"/>
        <v>696.5999999999998</v>
      </c>
      <c r="R131" s="306">
        <f t="shared" ca="1" si="49"/>
        <v>0.3495910842074067</v>
      </c>
      <c r="S131" s="307">
        <f t="shared" ca="1" si="50"/>
        <v>7.3928082735368275</v>
      </c>
      <c r="T131" s="304">
        <f t="shared" ca="1" si="30"/>
        <v>72.523449163396279</v>
      </c>
      <c r="U131" s="311">
        <f t="shared" ca="1" si="31"/>
        <v>0</v>
      </c>
      <c r="V131" s="306">
        <f t="shared" ca="1" si="32"/>
        <v>1.2160421816845557</v>
      </c>
      <c r="W131" s="304">
        <f t="shared" ca="1" si="33"/>
        <v>39.55570537285228</v>
      </c>
      <c r="Y131" s="314" t="str">
        <f t="shared" ca="1" si="51"/>
        <v/>
      </c>
      <c r="Z131" s="315" t="str">
        <f t="shared" ca="1" si="52"/>
        <v/>
      </c>
      <c r="AA131" s="316" t="str">
        <f t="shared" ca="1" si="53"/>
        <v/>
      </c>
      <c r="AC131" s="310" t="e">
        <f t="shared" ca="1" si="54"/>
        <v>#N/A</v>
      </c>
      <c r="AD131" s="323" t="e">
        <f t="shared" ca="1" si="55"/>
        <v>#N/A</v>
      </c>
      <c r="AE131" s="324">
        <f t="shared" ca="1" si="34"/>
        <v>73.393392237594597</v>
      </c>
      <c r="AG131" s="306">
        <f t="shared" ca="1" si="56"/>
        <v>79.189860091547217</v>
      </c>
      <c r="AH131" s="304">
        <f t="shared" ca="1" si="57"/>
        <v>88.949784908761643</v>
      </c>
    </row>
    <row r="132" spans="1:34" x14ac:dyDescent="0.2">
      <c r="A132" s="347">
        <f t="shared" ca="1" si="35"/>
        <v>0.01</v>
      </c>
      <c r="B132" s="304">
        <f t="shared" ca="1" si="36"/>
        <v>1.2800000000000009</v>
      </c>
      <c r="D132" s="306">
        <f t="shared" ca="1" si="37"/>
        <v>8.9586090594799739</v>
      </c>
      <c r="E132" s="307">
        <f t="shared" ca="1" si="38"/>
        <v>78.438009803087922</v>
      </c>
      <c r="F132" s="304">
        <f t="shared" ca="1" si="39"/>
        <v>78.947945243368522</v>
      </c>
      <c r="G132" s="306">
        <f t="shared" ca="1" si="40"/>
        <v>11.578563681013019</v>
      </c>
      <c r="H132" s="307">
        <f t="shared" ca="1" si="41"/>
        <v>113.95813288656234</v>
      </c>
      <c r="I132" s="304">
        <f t="shared" ca="1" si="42"/>
        <v>114.5448348373102</v>
      </c>
      <c r="J132" s="306">
        <f t="shared" ca="1" si="43"/>
        <v>7.2081520608627612</v>
      </c>
      <c r="K132" s="307">
        <f t="shared" ca="1" si="44"/>
        <v>74.529051665970073</v>
      </c>
      <c r="L132" s="304">
        <f t="shared" ref="L132:L195" ca="1" si="58">SQRT(pos_x^2+pos_z^2)</f>
        <v>74.876812154106531</v>
      </c>
      <c r="M132" s="306">
        <f t="shared" ca="1" si="45"/>
        <v>1.4695401429797708</v>
      </c>
      <c r="N132" s="304">
        <f t="shared" ca="1" si="46"/>
        <v>84.198448017792415</v>
      </c>
      <c r="P132" s="310">
        <f t="shared" ca="1" si="47"/>
        <v>4</v>
      </c>
      <c r="Q132" s="304">
        <f t="shared" ca="1" si="48"/>
        <v>694.99999999999989</v>
      </c>
      <c r="R132" s="306">
        <f t="shared" ca="1" si="49"/>
        <v>0.34878811875415977</v>
      </c>
      <c r="S132" s="307">
        <f t="shared" ca="1" si="50"/>
        <v>7.3893203923492861</v>
      </c>
      <c r="T132" s="304">
        <f t="shared" ref="T132:T195" ca="1" si="59">m*g</f>
        <v>72.489233048946502</v>
      </c>
      <c r="U132" s="311">
        <f t="shared" ref="U132:U195" ca="1" si="60">IF(pos_xz&lt;L_rampe,Poids*COS(Beta),0)</f>
        <v>0</v>
      </c>
      <c r="V132" s="306">
        <f t="shared" ref="V132:V195" ca="1" si="61">Rho_moyen*(20000-Alt_rampe-pos_z)/(20000+Alt_rampe+pos_z)</f>
        <v>1.2159040866606796</v>
      </c>
      <c r="W132" s="304">
        <f t="shared" ref="W132:W195" ca="1" si="62">1/2*Rho*Sref*Cx*vit_xz^2</f>
        <v>40.102057726249051</v>
      </c>
      <c r="Y132" s="314" t="str">
        <f t="shared" ca="1" si="51"/>
        <v/>
      </c>
      <c r="Z132" s="315" t="str">
        <f t="shared" ca="1" si="52"/>
        <v/>
      </c>
      <c r="AA132" s="316" t="str">
        <f t="shared" ca="1" si="53"/>
        <v/>
      </c>
      <c r="AC132" s="310" t="e">
        <f t="shared" ca="1" si="54"/>
        <v>#N/A</v>
      </c>
      <c r="AD132" s="323" t="e">
        <f t="shared" ca="1" si="55"/>
        <v>#N/A</v>
      </c>
      <c r="AE132" s="324">
        <f t="shared" ref="AE132:AE195" ca="1" si="63">IF(t&lt;T_para, pos_z, NA())</f>
        <v>74.529051665970073</v>
      </c>
      <c r="AG132" s="306">
        <f t="shared" ca="1" si="56"/>
        <v>78.941727928259013</v>
      </c>
      <c r="AH132" s="304">
        <f t="shared" ca="1" si="57"/>
        <v>88.701566561625611</v>
      </c>
    </row>
    <row r="133" spans="1:34" x14ac:dyDescent="0.2">
      <c r="A133" s="347">
        <f t="shared" ref="A133:A196" ca="1" si="64">IF(B132+0.01&lt;=T_ini+ROUNDUP(Temps_fin_propu,0), 0.01, IF(K132&gt;0, 0.1, 0.0001))</f>
        <v>0.01</v>
      </c>
      <c r="B133" s="304">
        <f t="shared" ref="B133:B196" ca="1" si="65">B132+pas</f>
        <v>1.2900000000000009</v>
      </c>
      <c r="D133" s="306">
        <f t="shared" ref="D133:D196" ca="1" si="66">IF(AND(L132&lt;L_rampe,Poussee&lt;Poids*SIN(M132)),0,(-W132+Poussee)/m*COS(M132)-U132/m*SIN(M132))</f>
        <v>8.9410915433238483</v>
      </c>
      <c r="E133" s="307">
        <f t="shared" ref="E133:E196" ca="1" si="67">IF(AND(L132&lt;L_rampe,Poussee&lt;Poids*SIN(M132)),0,(-W132+Poussee)/m*SIN(M132)+U132/m*COS(M132)-Poids/m)</f>
        <v>78.189697226337813</v>
      </c>
      <c r="F133" s="304">
        <f t="shared" ref="F133:F196" ca="1" si="68">SQRT(acc_x^2+acc_z^2)</f>
        <v>78.699249490274539</v>
      </c>
      <c r="G133" s="306">
        <f t="shared" ref="G133:G196" ca="1" si="69">G132+acc_x*pas</f>
        <v>11.667974596446257</v>
      </c>
      <c r="H133" s="307">
        <f t="shared" ref="H133:H196" ca="1" si="70">H132+acc_z*pas</f>
        <v>114.74002985882572</v>
      </c>
      <c r="I133" s="304">
        <f t="shared" ref="I133:I196" ca="1" si="71">SQRT(vit_x^2+vit_z^2)</f>
        <v>115.33176528254275</v>
      </c>
      <c r="J133" s="306">
        <f t="shared" ref="J133:J196" ca="1" si="72">J132+0.5*(vit_x+G132)*pas*(K132&gt;=0)</f>
        <v>7.3243847522500571</v>
      </c>
      <c r="K133" s="307">
        <f t="shared" ref="K133:K196" ca="1" si="73">K132+0.5*(vit_z+H132)*pas</f>
        <v>75.672542479697015</v>
      </c>
      <c r="L133" s="304">
        <f t="shared" ca="1" si="58"/>
        <v>76.026181656982757</v>
      </c>
      <c r="M133" s="306">
        <f t="shared" ref="M133:M196" ca="1" si="74">IF(AND(L132&gt;L_rampe,G133&gt;0),ATAN2(G133,H133),$M$4)</f>
        <v>1.4694541626222437</v>
      </c>
      <c r="N133" s="304">
        <f t="shared" ref="N133:N196" ca="1" si="75">DEGREES(Beta)</f>
        <v>84.193521706185095</v>
      </c>
      <c r="P133" s="310">
        <f t="shared" ref="P133:P196" ca="1" si="76">MATCH(t-pas/2-T_ini,CdP_t)</f>
        <v>4</v>
      </c>
      <c r="Q133" s="304">
        <f t="shared" ref="Q133:Q196" ca="1" si="77">(INDEX(CdP,2,i_P+1)-INDEX(CdP,2,i_P+0))/(INDEX(CdP,1,i_P+1)-INDEX(CdP,1,i_P+0))*(t-pas/2-T_ini-INDEX(CdP,1,i_P+0))+INDEX(CdP,2,i_P+0)</f>
        <v>693.39999999999986</v>
      </c>
      <c r="R133" s="306">
        <f t="shared" ref="R133:R196" ca="1" si="78">Poussee/(g*ISP)</f>
        <v>0.34798515330091273</v>
      </c>
      <c r="S133" s="307">
        <f t="shared" ref="S133:S196" ca="1" si="79">S132-Débit*pas</f>
        <v>7.3858405408162771</v>
      </c>
      <c r="T133" s="304">
        <f t="shared" ca="1" si="59"/>
        <v>72.455095705407686</v>
      </c>
      <c r="U133" s="311">
        <f t="shared" ca="1" si="60"/>
        <v>0</v>
      </c>
      <c r="V133" s="306">
        <f t="shared" ca="1" si="61"/>
        <v>1.2157650551341204</v>
      </c>
      <c r="W133" s="304">
        <f t="shared" ca="1" si="62"/>
        <v>40.65030927350977</v>
      </c>
      <c r="Y133" s="314" t="str">
        <f t="shared" ref="Y133:Y196" ca="1" si="80">IF(AND(pos_z&lt;=0,K132&gt;0),"Impact balistique","") &amp; IF(AND(H134&lt;0,vit_z&gt;=0),"Apogée","") &amp; IF(AND(Poussee=0,Q132&gt;0),"Fin de propulsion","") &amp; IF(AND(L134&gt;L_rampe,pos_xz&lt;=L_rampe),"Sortie de rampe","")</f>
        <v/>
      </c>
      <c r="Z133" s="315" t="str">
        <f t="shared" ref="Z133:Z196" ca="1" si="81">IF(ABS(t-T_para)&lt;pas/2,"Para","")</f>
        <v/>
      </c>
      <c r="AA133" s="316" t="str">
        <f t="shared" ref="AA133:AA196" ca="1" si="82">IF(ABS(t-T_satellite)&lt;pas/2,"Satellite","")</f>
        <v/>
      </c>
      <c r="AC133" s="310" t="e">
        <f t="shared" ref="AC133:AC196" ca="1" si="83">IF(ABS(t-ROUND(t,0))&lt;0.001,t,NA())</f>
        <v>#N/A</v>
      </c>
      <c r="AD133" s="323" t="e">
        <f t="shared" ref="AD133:AD196" ca="1" si="84">IF(ABS(t-ROUND(t,0))&lt;0.001,pos_x,NA())</f>
        <v>#N/A</v>
      </c>
      <c r="AE133" s="324">
        <f t="shared" ca="1" si="63"/>
        <v>75.672542479697015</v>
      </c>
      <c r="AG133" s="306">
        <f t="shared" ref="AG133:AG196" ca="1" si="85">IF(AND(L132&lt;L_rampe,Poussee&lt;Poids*SIN(M132)),0,(-W132+Poussee)/m-Poids*SIN(M132)/m)</f>
        <v>78.693001893047125</v>
      </c>
      <c r="AH133" s="304">
        <f t="shared" ref="AH133:AH196" ca="1" si="86">IF(AND(L132&lt;L_rampe,Poussee&lt;Poids*SIN(M132)), g*SIN(M132), (-W132+Poussee)/m)</f>
        <v>88.452754789849394</v>
      </c>
    </row>
    <row r="134" spans="1:34" x14ac:dyDescent="0.2">
      <c r="A134" s="347">
        <f t="shared" ca="1" si="64"/>
        <v>0.01</v>
      </c>
      <c r="B134" s="304">
        <f t="shared" ca="1" si="65"/>
        <v>1.3000000000000009</v>
      </c>
      <c r="D134" s="306">
        <f t="shared" ca="1" si="66"/>
        <v>8.9234263075247942</v>
      </c>
      <c r="E134" s="307">
        <f t="shared" ca="1" si="67"/>
        <v>77.940808206273445</v>
      </c>
      <c r="F134" s="304">
        <f t="shared" ca="1" si="68"/>
        <v>78.44996571645477</v>
      </c>
      <c r="G134" s="306">
        <f t="shared" ca="1" si="69"/>
        <v>11.757208859521505</v>
      </c>
      <c r="H134" s="307">
        <f t="shared" ca="1" si="70"/>
        <v>115.51943794088845</v>
      </c>
      <c r="I134" s="304">
        <f t="shared" ca="1" si="71"/>
        <v>116.11620258321054</v>
      </c>
      <c r="J134" s="306">
        <f t="shared" ca="1" si="72"/>
        <v>7.4415106695298956</v>
      </c>
      <c r="K134" s="307">
        <f t="shared" ca="1" si="73"/>
        <v>76.823839818695589</v>
      </c>
      <c r="L134" s="304">
        <f t="shared" ca="1" si="58"/>
        <v>77.183407838299843</v>
      </c>
      <c r="M134" s="306">
        <f t="shared" ca="1" si="74"/>
        <v>1.4693686908480548</v>
      </c>
      <c r="N134" s="304">
        <f t="shared" ca="1" si="75"/>
        <v>84.188624534256576</v>
      </c>
      <c r="P134" s="310">
        <f t="shared" ca="1" si="76"/>
        <v>4</v>
      </c>
      <c r="Q134" s="304">
        <f t="shared" ca="1" si="77"/>
        <v>691.79999999999984</v>
      </c>
      <c r="R134" s="306">
        <f t="shared" ca="1" si="78"/>
        <v>0.34718218784766575</v>
      </c>
      <c r="S134" s="307">
        <f t="shared" ca="1" si="79"/>
        <v>7.3823687189378004</v>
      </c>
      <c r="T134" s="304">
        <f t="shared" ca="1" si="59"/>
        <v>72.42103713277983</v>
      </c>
      <c r="U134" s="311">
        <f t="shared" ca="1" si="60"/>
        <v>0</v>
      </c>
      <c r="V134" s="306">
        <f t="shared" ca="1" si="61"/>
        <v>1.2156250904496904</v>
      </c>
      <c r="W134" s="304">
        <f t="shared" ca="1" si="62"/>
        <v>41.200418085088771</v>
      </c>
      <c r="Y134" s="314" t="str">
        <f t="shared" ca="1" si="80"/>
        <v/>
      </c>
      <c r="Z134" s="315" t="str">
        <f t="shared" ca="1" si="81"/>
        <v/>
      </c>
      <c r="AA134" s="316" t="str">
        <f t="shared" ca="1" si="82"/>
        <v/>
      </c>
      <c r="AC134" s="310" t="e">
        <f t="shared" ca="1" si="83"/>
        <v>#N/A</v>
      </c>
      <c r="AD134" s="323" t="e">
        <f t="shared" ca="1" si="84"/>
        <v>#N/A</v>
      </c>
      <c r="AE134" s="324">
        <f t="shared" ca="1" si="63"/>
        <v>76.823839818695589</v>
      </c>
      <c r="AG134" s="306">
        <f t="shared" ca="1" si="85"/>
        <v>78.443687652873336</v>
      </c>
      <c r="AH134" s="304">
        <f t="shared" ca="1" si="86"/>
        <v>88.203355253187581</v>
      </c>
    </row>
    <row r="135" spans="1:34" x14ac:dyDescent="0.2">
      <c r="A135" s="347">
        <f t="shared" ca="1" si="64"/>
        <v>0.01</v>
      </c>
      <c r="B135" s="304">
        <f t="shared" ca="1" si="65"/>
        <v>1.3100000000000009</v>
      </c>
      <c r="D135" s="306">
        <f t="shared" ca="1" si="66"/>
        <v>8.9056148972112705</v>
      </c>
      <c r="E135" s="307">
        <f t="shared" ca="1" si="67"/>
        <v>77.691348299235614</v>
      </c>
      <c r="F135" s="304">
        <f t="shared" ca="1" si="68"/>
        <v>78.200099598725387</v>
      </c>
      <c r="G135" s="306">
        <f t="shared" ca="1" si="69"/>
        <v>11.846265008493617</v>
      </c>
      <c r="H135" s="307">
        <f t="shared" ca="1" si="70"/>
        <v>116.29635142388081</v>
      </c>
      <c r="I135" s="304">
        <f t="shared" ca="1" si="71"/>
        <v>116.89814091403782</v>
      </c>
      <c r="J135" s="306">
        <f t="shared" ca="1" si="72"/>
        <v>7.5595280388699715</v>
      </c>
      <c r="K135" s="307">
        <f t="shared" ca="1" si="73"/>
        <v>77.982918765519429</v>
      </c>
      <c r="L135" s="304">
        <f t="shared" ca="1" si="58"/>
        <v>78.348465737116157</v>
      </c>
      <c r="M135" s="306">
        <f t="shared" ca="1" si="74"/>
        <v>1.4692837194405211</v>
      </c>
      <c r="N135" s="304">
        <f t="shared" ca="1" si="75"/>
        <v>84.183756031225599</v>
      </c>
      <c r="P135" s="310">
        <f t="shared" ca="1" si="76"/>
        <v>4</v>
      </c>
      <c r="Q135" s="304">
        <f t="shared" ca="1" si="77"/>
        <v>690.19999999999982</v>
      </c>
      <c r="R135" s="306">
        <f t="shared" ca="1" si="78"/>
        <v>0.34637922239441876</v>
      </c>
      <c r="S135" s="307">
        <f t="shared" ca="1" si="79"/>
        <v>7.3789049267138562</v>
      </c>
      <c r="T135" s="304">
        <f t="shared" ca="1" si="59"/>
        <v>72.387057331062934</v>
      </c>
      <c r="U135" s="311">
        <f t="shared" ca="1" si="60"/>
        <v>0</v>
      </c>
      <c r="V135" s="306">
        <f t="shared" ca="1" si="61"/>
        <v>1.2154841959598963</v>
      </c>
      <c r="W135" s="304">
        <f t="shared" ca="1" si="62"/>
        <v>41.752342288424288</v>
      </c>
      <c r="Y135" s="314" t="str">
        <f t="shared" ca="1" si="80"/>
        <v/>
      </c>
      <c r="Z135" s="315" t="str">
        <f t="shared" ca="1" si="81"/>
        <v/>
      </c>
      <c r="AA135" s="316" t="str">
        <f t="shared" ca="1" si="82"/>
        <v/>
      </c>
      <c r="AC135" s="310" t="e">
        <f t="shared" ca="1" si="83"/>
        <v>#N/A</v>
      </c>
      <c r="AD135" s="323" t="e">
        <f t="shared" ca="1" si="84"/>
        <v>#N/A</v>
      </c>
      <c r="AE135" s="324">
        <f t="shared" ca="1" si="63"/>
        <v>77.982918765519429</v>
      </c>
      <c r="AG135" s="306">
        <f t="shared" ca="1" si="85"/>
        <v>78.193790881681053</v>
      </c>
      <c r="AH135" s="304">
        <f t="shared" ca="1" si="86"/>
        <v>87.953373618534812</v>
      </c>
    </row>
    <row r="136" spans="1:34" x14ac:dyDescent="0.2">
      <c r="A136" s="347">
        <f t="shared" ca="1" si="64"/>
        <v>0.01</v>
      </c>
      <c r="B136" s="304">
        <f t="shared" ca="1" si="65"/>
        <v>1.320000000000001</v>
      </c>
      <c r="D136" s="306">
        <f t="shared" ca="1" si="66"/>
        <v>8.8876588368767351</v>
      </c>
      <c r="E136" s="307">
        <f t="shared" ca="1" si="67"/>
        <v>77.441323070005382</v>
      </c>
      <c r="F136" s="304">
        <f t="shared" ca="1" si="68"/>
        <v>77.949656820499612</v>
      </c>
      <c r="G136" s="306">
        <f t="shared" ca="1" si="69"/>
        <v>11.935141596862385</v>
      </c>
      <c r="H136" s="307">
        <f t="shared" ca="1" si="70"/>
        <v>117.07076465458086</v>
      </c>
      <c r="I136" s="304">
        <f t="shared" ca="1" si="71"/>
        <v>117.67757450655334</v>
      </c>
      <c r="J136" s="306">
        <f t="shared" ca="1" si="72"/>
        <v>7.6784350718967511</v>
      </c>
      <c r="K136" s="307">
        <f t="shared" ca="1" si="73"/>
        <v>79.149754345911731</v>
      </c>
      <c r="L136" s="304">
        <f t="shared" ca="1" si="58"/>
        <v>79.521330334517842</v>
      </c>
      <c r="M136" s="306">
        <f t="shared" ca="1" si="74"/>
        <v>1.4691992403676641</v>
      </c>
      <c r="N136" s="304">
        <f t="shared" ca="1" si="75"/>
        <v>84.178915736893728</v>
      </c>
      <c r="P136" s="310">
        <f t="shared" ca="1" si="76"/>
        <v>4</v>
      </c>
      <c r="Q136" s="304">
        <f t="shared" ca="1" si="77"/>
        <v>688.5999999999998</v>
      </c>
      <c r="R136" s="306">
        <f t="shared" ca="1" si="78"/>
        <v>0.34557625694117178</v>
      </c>
      <c r="S136" s="307">
        <f t="shared" ca="1" si="79"/>
        <v>7.3754491641444444</v>
      </c>
      <c r="T136" s="304">
        <f t="shared" ca="1" si="59"/>
        <v>72.353156300256998</v>
      </c>
      <c r="U136" s="311">
        <f t="shared" ca="1" si="60"/>
        <v>0</v>
      </c>
      <c r="V136" s="306">
        <f t="shared" ca="1" si="61"/>
        <v>1.2153423750248433</v>
      </c>
      <c r="W136" s="304">
        <f t="shared" ca="1" si="62"/>
        <v>42.306040070585894</v>
      </c>
      <c r="Y136" s="314" t="str">
        <f t="shared" ca="1" si="80"/>
        <v/>
      </c>
      <c r="Z136" s="315" t="str">
        <f t="shared" ca="1" si="81"/>
        <v/>
      </c>
      <c r="AA136" s="316" t="str">
        <f t="shared" ca="1" si="82"/>
        <v/>
      </c>
      <c r="AC136" s="310" t="e">
        <f t="shared" ca="1" si="83"/>
        <v>#N/A</v>
      </c>
      <c r="AD136" s="323" t="e">
        <f t="shared" ca="1" si="84"/>
        <v>#N/A</v>
      </c>
      <c r="AE136" s="324">
        <f t="shared" ca="1" si="63"/>
        <v>79.149754345911731</v>
      </c>
      <c r="AG136" s="306">
        <f t="shared" ca="1" si="85"/>
        <v>77.943317259994174</v>
      </c>
      <c r="AH136" s="304">
        <f t="shared" ca="1" si="86"/>
        <v>87.702815559519905</v>
      </c>
    </row>
    <row r="137" spans="1:34" x14ac:dyDescent="0.2">
      <c r="A137" s="347">
        <f t="shared" ca="1" si="64"/>
        <v>0.01</v>
      </c>
      <c r="B137" s="304">
        <f t="shared" ca="1" si="65"/>
        <v>1.330000000000001</v>
      </c>
      <c r="D137" s="306">
        <f t="shared" ca="1" si="66"/>
        <v>8.869559631010171</v>
      </c>
      <c r="E137" s="307">
        <f t="shared" ca="1" si="67"/>
        <v>77.190738091346731</v>
      </c>
      <c r="F137" s="304">
        <f t="shared" ca="1" si="68"/>
        <v>77.698643071387892</v>
      </c>
      <c r="G137" s="306">
        <f t="shared" ca="1" si="69"/>
        <v>12.023837193172486</v>
      </c>
      <c r="H137" s="307">
        <f t="shared" ca="1" si="70"/>
        <v>117.84267203549432</v>
      </c>
      <c r="I137" s="304">
        <f t="shared" ca="1" si="71"/>
        <v>118.45449764915216</v>
      </c>
      <c r="J137" s="306">
        <f t="shared" ca="1" si="72"/>
        <v>7.7982299658469252</v>
      </c>
      <c r="K137" s="307">
        <f t="shared" ca="1" si="73"/>
        <v>80.324321529362109</v>
      </c>
      <c r="L137" s="304">
        <f t="shared" ca="1" si="58"/>
        <v>80.701976554187183</v>
      </c>
      <c r="M137" s="306">
        <f t="shared" ca="1" si="74"/>
        <v>1.4691152457766112</v>
      </c>
      <c r="N137" s="304">
        <f t="shared" ca="1" si="75"/>
        <v>84.174103201324471</v>
      </c>
      <c r="P137" s="310">
        <f t="shared" ca="1" si="76"/>
        <v>4</v>
      </c>
      <c r="Q137" s="304">
        <f t="shared" ca="1" si="77"/>
        <v>686.99999999999977</v>
      </c>
      <c r="R137" s="306">
        <f t="shared" ca="1" si="78"/>
        <v>0.34477329148792474</v>
      </c>
      <c r="S137" s="307">
        <f t="shared" ca="1" si="79"/>
        <v>7.372001431229565</v>
      </c>
      <c r="T137" s="304">
        <f t="shared" ca="1" si="59"/>
        <v>72.319334040362037</v>
      </c>
      <c r="U137" s="311">
        <f t="shared" ca="1" si="60"/>
        <v>0</v>
      </c>
      <c r="V137" s="306">
        <f t="shared" ca="1" si="61"/>
        <v>1.2151996310121376</v>
      </c>
      <c r="W137" s="304">
        <f t="shared" ca="1" si="62"/>
        <v>42.86146968090555</v>
      </c>
      <c r="Y137" s="314" t="str">
        <f t="shared" ca="1" si="80"/>
        <v/>
      </c>
      <c r="Z137" s="315" t="str">
        <f t="shared" ca="1" si="81"/>
        <v/>
      </c>
      <c r="AA137" s="316" t="str">
        <f t="shared" ca="1" si="82"/>
        <v/>
      </c>
      <c r="AC137" s="310" t="e">
        <f t="shared" ca="1" si="83"/>
        <v>#N/A</v>
      </c>
      <c r="AD137" s="323" t="e">
        <f t="shared" ca="1" si="84"/>
        <v>#N/A</v>
      </c>
      <c r="AE137" s="324">
        <f t="shared" ca="1" si="63"/>
        <v>80.324321529362109</v>
      </c>
      <c r="AG137" s="306">
        <f t="shared" ca="1" si="85"/>
        <v>77.692272474516543</v>
      </c>
      <c r="AH137" s="304">
        <f t="shared" ca="1" si="86"/>
        <v>87.451686756100685</v>
      </c>
    </row>
    <row r="138" spans="1:34" x14ac:dyDescent="0.2">
      <c r="A138" s="347">
        <f t="shared" ca="1" si="64"/>
        <v>0.01</v>
      </c>
      <c r="B138" s="304">
        <f t="shared" ca="1" si="65"/>
        <v>1.340000000000001</v>
      </c>
      <c r="D138" s="306">
        <f t="shared" ca="1" si="66"/>
        <v>8.851318764701043</v>
      </c>
      <c r="E138" s="307">
        <f t="shared" ca="1" si="67"/>
        <v>76.939598943552397</v>
      </c>
      <c r="F138" s="304">
        <f t="shared" ca="1" si="68"/>
        <v>77.447064046799341</v>
      </c>
      <c r="G138" s="306">
        <f t="shared" ca="1" si="69"/>
        <v>12.112350380819496</v>
      </c>
      <c r="H138" s="307">
        <f t="shared" ca="1" si="70"/>
        <v>118.61206802492984</v>
      </c>
      <c r="I138" s="304">
        <f t="shared" ca="1" si="71"/>
        <v>119.22890468715345</v>
      </c>
      <c r="J138" s="306">
        <f t="shared" ca="1" si="72"/>
        <v>7.9189109037168848</v>
      </c>
      <c r="K138" s="307">
        <f t="shared" ca="1" si="73"/>
        <v>81.506595229664228</v>
      </c>
      <c r="L138" s="304">
        <f t="shared" ca="1" si="58"/>
        <v>81.890379262971607</v>
      </c>
      <c r="M138" s="306">
        <f t="shared" ca="1" si="74"/>
        <v>1.4690317279882072</v>
      </c>
      <c r="N138" s="304">
        <f t="shared" ca="1" si="75"/>
        <v>84.169317984534644</v>
      </c>
      <c r="P138" s="310">
        <f t="shared" ca="1" si="76"/>
        <v>4</v>
      </c>
      <c r="Q138" s="304">
        <f t="shared" ca="1" si="77"/>
        <v>685.39999999999986</v>
      </c>
      <c r="R138" s="306">
        <f t="shared" ca="1" si="78"/>
        <v>0.34397032603467781</v>
      </c>
      <c r="S138" s="307">
        <f t="shared" ca="1" si="79"/>
        <v>7.3685617279692179</v>
      </c>
      <c r="T138" s="304">
        <f t="shared" ca="1" si="59"/>
        <v>72.285590551378036</v>
      </c>
      <c r="U138" s="311">
        <f t="shared" ca="1" si="60"/>
        <v>0</v>
      </c>
      <c r="V138" s="306">
        <f t="shared" ca="1" si="61"/>
        <v>1.2150559672967909</v>
      </c>
      <c r="W138" s="304">
        <f t="shared" ca="1" si="62"/>
        <v>43.418589433592103</v>
      </c>
      <c r="Y138" s="314" t="str">
        <f t="shared" ca="1" si="80"/>
        <v/>
      </c>
      <c r="Z138" s="315" t="str">
        <f t="shared" ca="1" si="81"/>
        <v/>
      </c>
      <c r="AA138" s="316" t="str">
        <f t="shared" ca="1" si="82"/>
        <v/>
      </c>
      <c r="AC138" s="310" t="e">
        <f t="shared" ca="1" si="83"/>
        <v>#N/A</v>
      </c>
      <c r="AD138" s="323" t="e">
        <f t="shared" ca="1" si="84"/>
        <v>#N/A</v>
      </c>
      <c r="AE138" s="324">
        <f t="shared" ca="1" si="63"/>
        <v>81.506595229664228</v>
      </c>
      <c r="AG138" s="306">
        <f t="shared" ca="1" si="85"/>
        <v>77.440662217732225</v>
      </c>
      <c r="AH138" s="304">
        <f t="shared" ca="1" si="86"/>
        <v>87.199992894159891</v>
      </c>
    </row>
    <row r="139" spans="1:34" x14ac:dyDescent="0.2">
      <c r="A139" s="347">
        <f t="shared" ca="1" si="64"/>
        <v>0.01</v>
      </c>
      <c r="B139" s="304">
        <f t="shared" ca="1" si="65"/>
        <v>1.350000000000001</v>
      </c>
      <c r="D139" s="306">
        <f t="shared" ca="1" si="66"/>
        <v>8.8329377042198427</v>
      </c>
      <c r="E139" s="307">
        <f t="shared" ca="1" si="67"/>
        <v>76.687911213992464</v>
      </c>
      <c r="F139" s="304">
        <f t="shared" ca="1" si="68"/>
        <v>77.194925447543639</v>
      </c>
      <c r="G139" s="306">
        <f t="shared" ca="1" si="69"/>
        <v>12.200679757861694</v>
      </c>
      <c r="H139" s="307">
        <f t="shared" ca="1" si="70"/>
        <v>119.37894713706976</v>
      </c>
      <c r="I139" s="304">
        <f t="shared" ca="1" si="71"/>
        <v>120.0007900228544</v>
      </c>
      <c r="J139" s="306">
        <f t="shared" ca="1" si="72"/>
        <v>8.0404760544102913</v>
      </c>
      <c r="K139" s="307">
        <f t="shared" ca="1" si="73"/>
        <v>82.696550305474233</v>
      </c>
      <c r="L139" s="304">
        <f t="shared" ca="1" si="58"/>
        <v>83.086513271453242</v>
      </c>
      <c r="M139" s="306">
        <f t="shared" ca="1" si="74"/>
        <v>1.4689486794918289</v>
      </c>
      <c r="N139" s="304">
        <f t="shared" ca="1" si="75"/>
        <v>84.16455965619727</v>
      </c>
      <c r="P139" s="310">
        <f t="shared" ca="1" si="76"/>
        <v>4</v>
      </c>
      <c r="Q139" s="304">
        <f t="shared" ca="1" si="77"/>
        <v>683.79999999999984</v>
      </c>
      <c r="R139" s="306">
        <f t="shared" ca="1" si="78"/>
        <v>0.34316736058143082</v>
      </c>
      <c r="S139" s="307">
        <f t="shared" ca="1" si="79"/>
        <v>7.3651300543634033</v>
      </c>
      <c r="T139" s="304">
        <f t="shared" ca="1" si="59"/>
        <v>72.251925833304995</v>
      </c>
      <c r="U139" s="311">
        <f t="shared" ca="1" si="60"/>
        <v>0</v>
      </c>
      <c r="V139" s="306">
        <f t="shared" ca="1" si="61"/>
        <v>1.214911387261123</v>
      </c>
      <c r="W139" s="304">
        <f t="shared" ca="1" si="62"/>
        <v>43.977357710328967</v>
      </c>
      <c r="Y139" s="314" t="str">
        <f t="shared" ca="1" si="80"/>
        <v/>
      </c>
      <c r="Z139" s="315" t="str">
        <f t="shared" ca="1" si="81"/>
        <v/>
      </c>
      <c r="AA139" s="316" t="str">
        <f t="shared" ca="1" si="82"/>
        <v/>
      </c>
      <c r="AC139" s="310" t="e">
        <f t="shared" ca="1" si="83"/>
        <v>#N/A</v>
      </c>
      <c r="AD139" s="323" t="e">
        <f t="shared" ca="1" si="84"/>
        <v>#N/A</v>
      </c>
      <c r="AE139" s="324">
        <f t="shared" ca="1" si="63"/>
        <v>82.696550305474233</v>
      </c>
      <c r="AG139" s="306">
        <f t="shared" ca="1" si="85"/>
        <v>77.188492187506625</v>
      </c>
      <c r="AH139" s="304">
        <f t="shared" ca="1" si="86"/>
        <v>86.947739665102006</v>
      </c>
    </row>
    <row r="140" spans="1:34" x14ac:dyDescent="0.2">
      <c r="A140" s="347">
        <f t="shared" ca="1" si="64"/>
        <v>0.01</v>
      </c>
      <c r="B140" s="304">
        <f t="shared" ca="1" si="65"/>
        <v>1.360000000000001</v>
      </c>
      <c r="D140" s="306">
        <f t="shared" ca="1" si="66"/>
        <v>8.8144178975752929</v>
      </c>
      <c r="E140" s="307">
        <f t="shared" ca="1" si="67"/>
        <v>76.435680496666208</v>
      </c>
      <c r="F140" s="304">
        <f t="shared" ca="1" si="68"/>
        <v>76.942232979434223</v>
      </c>
      <c r="G140" s="306">
        <f t="shared" ca="1" si="69"/>
        <v>12.288823936837447</v>
      </c>
      <c r="H140" s="307">
        <f t="shared" ca="1" si="70"/>
        <v>120.14330394203643</v>
      </c>
      <c r="I140" s="304">
        <f t="shared" ca="1" si="71"/>
        <v>120.77014811558001</v>
      </c>
      <c r="J140" s="306">
        <f t="shared" ca="1" si="72"/>
        <v>8.1629235728837877</v>
      </c>
      <c r="K140" s="307">
        <f t="shared" ca="1" si="73"/>
        <v>83.894161560869762</v>
      </c>
      <c r="L140" s="304">
        <f t="shared" ca="1" si="58"/>
        <v>84.290353334518997</v>
      </c>
      <c r="M140" s="306">
        <f t="shared" ca="1" si="74"/>
        <v>1.4688660929403921</v>
      </c>
      <c r="N140" s="304">
        <f t="shared" ca="1" si="75"/>
        <v>84.159827795355383</v>
      </c>
      <c r="P140" s="310">
        <f t="shared" ca="1" si="76"/>
        <v>4</v>
      </c>
      <c r="Q140" s="304">
        <f t="shared" ca="1" si="77"/>
        <v>682.19999999999982</v>
      </c>
      <c r="R140" s="306">
        <f t="shared" ca="1" si="78"/>
        <v>0.34236439512818384</v>
      </c>
      <c r="S140" s="307">
        <f t="shared" ca="1" si="79"/>
        <v>7.361706410412121</v>
      </c>
      <c r="T140" s="304">
        <f t="shared" ca="1" si="59"/>
        <v>72.218339886142914</v>
      </c>
      <c r="U140" s="311">
        <f t="shared" ca="1" si="60"/>
        <v>0</v>
      </c>
      <c r="V140" s="306">
        <f t="shared" ca="1" si="61"/>
        <v>1.2147658942946671</v>
      </c>
      <c r="W140" s="304">
        <f t="shared" ca="1" si="62"/>
        <v>44.537732962854641</v>
      </c>
      <c r="Y140" s="314" t="str">
        <f t="shared" ca="1" si="80"/>
        <v/>
      </c>
      <c r="Z140" s="315" t="str">
        <f t="shared" ca="1" si="81"/>
        <v/>
      </c>
      <c r="AA140" s="316" t="str">
        <f t="shared" ca="1" si="82"/>
        <v/>
      </c>
      <c r="AC140" s="310" t="e">
        <f t="shared" ca="1" si="83"/>
        <v>#N/A</v>
      </c>
      <c r="AD140" s="323" t="e">
        <f t="shared" ca="1" si="84"/>
        <v>#N/A</v>
      </c>
      <c r="AE140" s="324">
        <f t="shared" ca="1" si="63"/>
        <v>83.894161560869762</v>
      </c>
      <c r="AG140" s="306">
        <f t="shared" ca="1" si="85"/>
        <v>76.935768086688668</v>
      </c>
      <c r="AH140" s="304">
        <f t="shared" ca="1" si="86"/>
        <v>86.694932765451327</v>
      </c>
    </row>
    <row r="141" spans="1:34" x14ac:dyDescent="0.2">
      <c r="A141" s="347">
        <f t="shared" ca="1" si="64"/>
        <v>0.01</v>
      </c>
      <c r="B141" s="304">
        <f t="shared" ca="1" si="65"/>
        <v>1.370000000000001</v>
      </c>
      <c r="D141" s="306">
        <f t="shared" ca="1" si="66"/>
        <v>8.7957607750492368</v>
      </c>
      <c r="E141" s="307">
        <f t="shared" ca="1" si="67"/>
        <v>76.182912391756489</v>
      </c>
      <c r="F141" s="304">
        <f t="shared" ca="1" si="68"/>
        <v>76.688992352892072</v>
      </c>
      <c r="G141" s="306">
        <f t="shared" ca="1" si="69"/>
        <v>12.37678154458794</v>
      </c>
      <c r="H141" s="307">
        <f t="shared" ca="1" si="70"/>
        <v>120.90513306595399</v>
      </c>
      <c r="I141" s="304">
        <f t="shared" ca="1" si="71"/>
        <v>121.53697348172898</v>
      </c>
      <c r="J141" s="306">
        <f t="shared" ca="1" si="72"/>
        <v>8.2862516002909139</v>
      </c>
      <c r="K141" s="307">
        <f t="shared" ca="1" si="73"/>
        <v>85.099403745909711</v>
      </c>
      <c r="L141" s="304">
        <f t="shared" ca="1" si="58"/>
        <v>85.501874151931176</v>
      </c>
      <c r="M141" s="306">
        <f t="shared" ca="1" si="74"/>
        <v>1.4687839611455411</v>
      </c>
      <c r="N141" s="304">
        <f t="shared" ca="1" si="75"/>
        <v>84.155121990146597</v>
      </c>
      <c r="P141" s="310">
        <f t="shared" ca="1" si="76"/>
        <v>4</v>
      </c>
      <c r="Q141" s="304">
        <f t="shared" ca="1" si="77"/>
        <v>680.5999999999998</v>
      </c>
      <c r="R141" s="306">
        <f t="shared" ca="1" si="78"/>
        <v>0.34156142967493686</v>
      </c>
      <c r="S141" s="307">
        <f t="shared" ca="1" si="79"/>
        <v>7.3582907961153721</v>
      </c>
      <c r="T141" s="304">
        <f t="shared" ca="1" si="59"/>
        <v>72.184832709891808</v>
      </c>
      <c r="U141" s="311">
        <f t="shared" ca="1" si="60"/>
        <v>0</v>
      </c>
      <c r="V141" s="306">
        <f t="shared" ca="1" si="61"/>
        <v>1.2146194917940714</v>
      </c>
      <c r="W141" s="304">
        <f t="shared" ca="1" si="62"/>
        <v>45.099673715525888</v>
      </c>
      <c r="Y141" s="314" t="str">
        <f t="shared" ca="1" si="80"/>
        <v/>
      </c>
      <c r="Z141" s="315" t="str">
        <f t="shared" ca="1" si="81"/>
        <v/>
      </c>
      <c r="AA141" s="316" t="str">
        <f t="shared" ca="1" si="82"/>
        <v/>
      </c>
      <c r="AC141" s="310" t="e">
        <f t="shared" ca="1" si="83"/>
        <v>#N/A</v>
      </c>
      <c r="AD141" s="323" t="e">
        <f t="shared" ca="1" si="84"/>
        <v>#N/A</v>
      </c>
      <c r="AE141" s="324">
        <f t="shared" ca="1" si="63"/>
        <v>85.099403745909711</v>
      </c>
      <c r="AG141" s="306">
        <f t="shared" ca="1" si="85"/>
        <v>76.682495622713731</v>
      </c>
      <c r="AH141" s="304">
        <f t="shared" ca="1" si="86"/>
        <v>86.441577896450966</v>
      </c>
    </row>
    <row r="142" spans="1:34" x14ac:dyDescent="0.2">
      <c r="A142" s="347">
        <f t="shared" ca="1" si="64"/>
        <v>0.01</v>
      </c>
      <c r="B142" s="304">
        <f t="shared" ca="1" si="65"/>
        <v>1.380000000000001</v>
      </c>
      <c r="D142" s="306">
        <f t="shared" ca="1" si="66"/>
        <v>8.7769677497103924</v>
      </c>
      <c r="E142" s="307">
        <f t="shared" ca="1" si="67"/>
        <v>75.929612505187194</v>
      </c>
      <c r="F142" s="304">
        <f t="shared" ca="1" si="68"/>
        <v>76.435209282550773</v>
      </c>
      <c r="G142" s="306">
        <f t="shared" ca="1" si="69"/>
        <v>12.464551222085044</v>
      </c>
      <c r="H142" s="307">
        <f t="shared" ca="1" si="70"/>
        <v>121.66442919100587</v>
      </c>
      <c r="I142" s="304">
        <f t="shared" ca="1" si="71"/>
        <v>122.30126069481565</v>
      </c>
      <c r="J142" s="306">
        <f t="shared" ca="1" si="72"/>
        <v>8.4104582641242782</v>
      </c>
      <c r="K142" s="307">
        <f t="shared" ca="1" si="73"/>
        <v>86.312251557194514</v>
      </c>
      <c r="L142" s="304">
        <f t="shared" ca="1" si="58"/>
        <v>86.721050368898347</v>
      </c>
      <c r="M142" s="306">
        <f t="shared" ca="1" si="74"/>
        <v>1.4687022770730165</v>
      </c>
      <c r="N142" s="304">
        <f t="shared" ca="1" si="75"/>
        <v>84.1504418375375</v>
      </c>
      <c r="P142" s="310">
        <f t="shared" ca="1" si="76"/>
        <v>4</v>
      </c>
      <c r="Q142" s="304">
        <f t="shared" ca="1" si="77"/>
        <v>678.99999999999977</v>
      </c>
      <c r="R142" s="306">
        <f t="shared" ca="1" si="78"/>
        <v>0.34075846422168982</v>
      </c>
      <c r="S142" s="307">
        <f t="shared" ca="1" si="79"/>
        <v>7.3548832114731555</v>
      </c>
      <c r="T142" s="304">
        <f t="shared" ca="1" si="59"/>
        <v>72.151404304551662</v>
      </c>
      <c r="U142" s="311">
        <f t="shared" ca="1" si="60"/>
        <v>0</v>
      </c>
      <c r="V142" s="306">
        <f t="shared" ca="1" si="61"/>
        <v>1.2144721831630028</v>
      </c>
      <c r="W142" s="304">
        <f t="shared" ca="1" si="62"/>
        <v>45.663138567863427</v>
      </c>
      <c r="Y142" s="314" t="str">
        <f t="shared" ca="1" si="80"/>
        <v/>
      </c>
      <c r="Z142" s="315" t="str">
        <f t="shared" ca="1" si="81"/>
        <v/>
      </c>
      <c r="AA142" s="316" t="str">
        <f t="shared" ca="1" si="82"/>
        <v/>
      </c>
      <c r="AC142" s="310" t="e">
        <f t="shared" ca="1" si="83"/>
        <v>#N/A</v>
      </c>
      <c r="AD142" s="323" t="e">
        <f t="shared" ca="1" si="84"/>
        <v>#N/A</v>
      </c>
      <c r="AE142" s="324">
        <f t="shared" ca="1" si="63"/>
        <v>86.312251557194514</v>
      </c>
      <c r="AG142" s="306">
        <f t="shared" ca="1" si="85"/>
        <v>76.428680507207716</v>
      </c>
      <c r="AH142" s="304">
        <f t="shared" ca="1" si="86"/>
        <v>86.187680763663138</v>
      </c>
    </row>
    <row r="143" spans="1:34" x14ac:dyDescent="0.2">
      <c r="A143" s="347">
        <f t="shared" ca="1" si="64"/>
        <v>0.01</v>
      </c>
      <c r="B143" s="304">
        <f t="shared" ca="1" si="65"/>
        <v>1.390000000000001</v>
      </c>
      <c r="D143" s="306">
        <f t="shared" ca="1" si="66"/>
        <v>8.7580402179076469</v>
      </c>
      <c r="E143" s="307">
        <f t="shared" ca="1" si="67"/>
        <v>75.675786448183516</v>
      </c>
      <c r="F143" s="304">
        <f t="shared" ca="1" si="68"/>
        <v>76.18088948686254</v>
      </c>
      <c r="G143" s="306">
        <f t="shared" ca="1" si="69"/>
        <v>12.552131624264121</v>
      </c>
      <c r="H143" s="307">
        <f t="shared" ca="1" si="70"/>
        <v>122.42118705548771</v>
      </c>
      <c r="I143" s="304">
        <f t="shared" ca="1" si="71"/>
        <v>123.06300438550799</v>
      </c>
      <c r="J143" s="306">
        <f t="shared" ca="1" si="72"/>
        <v>8.5355416783560241</v>
      </c>
      <c r="K143" s="307">
        <f t="shared" ca="1" si="73"/>
        <v>87.532679638426984</v>
      </c>
      <c r="L143" s="304">
        <f t="shared" ca="1" si="58"/>
        <v>87.947856576646842</v>
      </c>
      <c r="M143" s="306">
        <f t="shared" ca="1" si="74"/>
        <v>1.4686210338381891</v>
      </c>
      <c r="N143" s="304">
        <f t="shared" ca="1" si="75"/>
        <v>84.14578694306789</v>
      </c>
      <c r="P143" s="310">
        <f t="shared" ca="1" si="76"/>
        <v>4</v>
      </c>
      <c r="Q143" s="304">
        <f t="shared" ca="1" si="77"/>
        <v>677.39999999999986</v>
      </c>
      <c r="R143" s="306">
        <f t="shared" ca="1" si="78"/>
        <v>0.33995549876844289</v>
      </c>
      <c r="S143" s="307">
        <f t="shared" ca="1" si="79"/>
        <v>7.3514836564854713</v>
      </c>
      <c r="T143" s="304">
        <f t="shared" ca="1" si="59"/>
        <v>72.118054670122476</v>
      </c>
      <c r="U143" s="311">
        <f t="shared" ca="1" si="60"/>
        <v>0</v>
      </c>
      <c r="V143" s="306">
        <f t="shared" ca="1" si="61"/>
        <v>1.2143239718120522</v>
      </c>
      <c r="W143" s="304">
        <f t="shared" ca="1" si="62"/>
        <v>46.22808619707979</v>
      </c>
      <c r="Y143" s="314" t="str">
        <f t="shared" ca="1" si="80"/>
        <v/>
      </c>
      <c r="Z143" s="315" t="str">
        <f t="shared" ca="1" si="81"/>
        <v/>
      </c>
      <c r="AA143" s="316" t="str">
        <f t="shared" ca="1" si="82"/>
        <v/>
      </c>
      <c r="AC143" s="310" t="e">
        <f t="shared" ca="1" si="83"/>
        <v>#N/A</v>
      </c>
      <c r="AD143" s="323" t="e">
        <f t="shared" ca="1" si="84"/>
        <v>#N/A</v>
      </c>
      <c r="AE143" s="324">
        <f t="shared" ca="1" si="63"/>
        <v>87.532679638426984</v>
      </c>
      <c r="AG143" s="306">
        <f t="shared" ca="1" si="85"/>
        <v>76.174328455592203</v>
      </c>
      <c r="AH143" s="304">
        <f t="shared" ca="1" si="86"/>
        <v>85.933247076570581</v>
      </c>
    </row>
    <row r="144" spans="1:34" x14ac:dyDescent="0.2">
      <c r="A144" s="347">
        <f t="shared" ca="1" si="64"/>
        <v>0.01</v>
      </c>
      <c r="B144" s="304">
        <f t="shared" ca="1" si="65"/>
        <v>1.400000000000001</v>
      </c>
      <c r="D144" s="306">
        <f t="shared" ca="1" si="66"/>
        <v>8.7389795597439619</v>
      </c>
      <c r="E144" s="307">
        <f t="shared" ca="1" si="67"/>
        <v>75.421439836834821</v>
      </c>
      <c r="F144" s="304">
        <f t="shared" ca="1" si="68"/>
        <v>75.926038687705272</v>
      </c>
      <c r="G144" s="306">
        <f t="shared" ca="1" si="69"/>
        <v>12.639521419861561</v>
      </c>
      <c r="H144" s="307">
        <f t="shared" ca="1" si="70"/>
        <v>123.17540145385605</v>
      </c>
      <c r="I144" s="304">
        <f t="shared" ca="1" si="71"/>
        <v>123.82219924166161</v>
      </c>
      <c r="J144" s="306">
        <f t="shared" ca="1" si="72"/>
        <v>8.6614999435766524</v>
      </c>
      <c r="K144" s="307">
        <f t="shared" ca="1" si="73"/>
        <v>88.760662580973701</v>
      </c>
      <c r="L144" s="304">
        <f t="shared" ca="1" si="58"/>
        <v>89.182267312992465</v>
      </c>
      <c r="M144" s="306">
        <f t="shared" ca="1" si="74"/>
        <v>1.4685402247017565</v>
      </c>
      <c r="N144" s="304">
        <f t="shared" ca="1" si="75"/>
        <v>84.141156920604217</v>
      </c>
      <c r="P144" s="310">
        <f t="shared" ca="1" si="76"/>
        <v>4</v>
      </c>
      <c r="Q144" s="304">
        <f t="shared" ca="1" si="77"/>
        <v>675.79999999999984</v>
      </c>
      <c r="R144" s="306">
        <f t="shared" ca="1" si="78"/>
        <v>0.3391525333151959</v>
      </c>
      <c r="S144" s="307">
        <f t="shared" ca="1" si="79"/>
        <v>7.3480921311523195</v>
      </c>
      <c r="T144" s="304">
        <f t="shared" ca="1" si="59"/>
        <v>72.084783806604264</v>
      </c>
      <c r="U144" s="311">
        <f t="shared" ca="1" si="60"/>
        <v>0</v>
      </c>
      <c r="V144" s="306">
        <f t="shared" ca="1" si="61"/>
        <v>1.2141748611586352</v>
      </c>
      <c r="W144" s="304">
        <f t="shared" ca="1" si="62"/>
        <v>46.794475360589061</v>
      </c>
      <c r="Y144" s="314" t="str">
        <f t="shared" ca="1" si="80"/>
        <v/>
      </c>
      <c r="Z144" s="315" t="str">
        <f t="shared" ca="1" si="81"/>
        <v/>
      </c>
      <c r="AA144" s="316" t="str">
        <f t="shared" ca="1" si="82"/>
        <v/>
      </c>
      <c r="AC144" s="310" t="e">
        <f t="shared" ca="1" si="83"/>
        <v>#N/A</v>
      </c>
      <c r="AD144" s="323" t="e">
        <f t="shared" ca="1" si="84"/>
        <v>#N/A</v>
      </c>
      <c r="AE144" s="324">
        <f t="shared" ca="1" si="63"/>
        <v>88.760662580973701</v>
      </c>
      <c r="AG144" s="306">
        <f t="shared" ca="1" si="85"/>
        <v>75.919445186690496</v>
      </c>
      <c r="AH144" s="304">
        <f t="shared" ca="1" si="86"/>
        <v>85.678282548179126</v>
      </c>
    </row>
    <row r="145" spans="1:34" x14ac:dyDescent="0.2">
      <c r="A145" s="347">
        <f t="shared" ca="1" si="64"/>
        <v>0.01</v>
      </c>
      <c r="B145" s="304">
        <f t="shared" ca="1" si="65"/>
        <v>1.410000000000001</v>
      </c>
      <c r="D145" s="306">
        <f t="shared" ca="1" si="66"/>
        <v>8.7197871395316842</v>
      </c>
      <c r="E145" s="307">
        <f t="shared" ca="1" si="67"/>
        <v>75.166578291660585</v>
      </c>
      <c r="F145" s="304">
        <f t="shared" ca="1" si="68"/>
        <v>75.670662609990956</v>
      </c>
      <c r="G145" s="306">
        <f t="shared" ca="1" si="69"/>
        <v>12.726719291256877</v>
      </c>
      <c r="H145" s="307">
        <f t="shared" ca="1" si="70"/>
        <v>123.92706723677266</v>
      </c>
      <c r="I145" s="304">
        <f t="shared" ca="1" si="71"/>
        <v>124.57884000834981</v>
      </c>
      <c r="J145" s="306">
        <f t="shared" ca="1" si="72"/>
        <v>8.7883311471322454</v>
      </c>
      <c r="K145" s="307">
        <f t="shared" ca="1" si="73"/>
        <v>89.996174924426839</v>
      </c>
      <c r="L145" s="304">
        <f t="shared" ca="1" si="58"/>
        <v>90.424257062912545</v>
      </c>
      <c r="M145" s="306">
        <f t="shared" ca="1" si="74"/>
        <v>1.4684598430655922</v>
      </c>
      <c r="N145" s="304">
        <f t="shared" ca="1" si="75"/>
        <v>84.136551392101637</v>
      </c>
      <c r="P145" s="310">
        <f t="shared" ca="1" si="76"/>
        <v>4</v>
      </c>
      <c r="Q145" s="304">
        <f t="shared" ca="1" si="77"/>
        <v>674.19999999999982</v>
      </c>
      <c r="R145" s="306">
        <f t="shared" ca="1" si="78"/>
        <v>0.33834956786194892</v>
      </c>
      <c r="S145" s="307">
        <f t="shared" ca="1" si="79"/>
        <v>7.3447086354737001</v>
      </c>
      <c r="T145" s="304">
        <f t="shared" ca="1" si="59"/>
        <v>72.051591713996999</v>
      </c>
      <c r="U145" s="311">
        <f t="shared" ca="1" si="60"/>
        <v>0</v>
      </c>
      <c r="V145" s="306">
        <f t="shared" ca="1" si="61"/>
        <v>1.2140248546268986</v>
      </c>
      <c r="W145" s="304">
        <f t="shared" ca="1" si="62"/>
        <v>47.362264898498502</v>
      </c>
      <c r="Y145" s="314" t="str">
        <f t="shared" ca="1" si="80"/>
        <v/>
      </c>
      <c r="Z145" s="315" t="str">
        <f t="shared" ca="1" si="81"/>
        <v/>
      </c>
      <c r="AA145" s="316" t="str">
        <f t="shared" ca="1" si="82"/>
        <v/>
      </c>
      <c r="AC145" s="310" t="e">
        <f t="shared" ca="1" si="83"/>
        <v>#N/A</v>
      </c>
      <c r="AD145" s="323" t="e">
        <f t="shared" ca="1" si="84"/>
        <v>#N/A</v>
      </c>
      <c r="AE145" s="324">
        <f t="shared" ca="1" si="63"/>
        <v>89.996174924426839</v>
      </c>
      <c r="AG145" s="306">
        <f t="shared" ca="1" si="85"/>
        <v>75.664036422335272</v>
      </c>
      <c r="AH145" s="304">
        <f t="shared" ca="1" si="86"/>
        <v>85.422792894621878</v>
      </c>
    </row>
    <row r="146" spans="1:34" x14ac:dyDescent="0.2">
      <c r="A146" s="347">
        <f t="shared" ca="1" si="64"/>
        <v>0.01</v>
      </c>
      <c r="B146" s="304">
        <f t="shared" ca="1" si="65"/>
        <v>1.420000000000001</v>
      </c>
      <c r="D146" s="306">
        <f t="shared" ca="1" si="66"/>
        <v>8.7004643062301223</v>
      </c>
      <c r="E146" s="307">
        <f t="shared" ca="1" si="67"/>
        <v>74.911207437178959</v>
      </c>
      <c r="F146" s="304">
        <f t="shared" ca="1" si="68"/>
        <v>75.414766981275235</v>
      </c>
      <c r="G146" s="306">
        <f t="shared" ca="1" si="69"/>
        <v>12.813723934319178</v>
      </c>
      <c r="H146" s="307">
        <f t="shared" ca="1" si="70"/>
        <v>124.67617931114445</v>
      </c>
      <c r="I146" s="304">
        <f t="shared" ca="1" si="71"/>
        <v>125.33292148788996</v>
      </c>
      <c r="J146" s="306">
        <f t="shared" ca="1" si="72"/>
        <v>8.9160333632601265</v>
      </c>
      <c r="K146" s="307">
        <f t="shared" ca="1" si="73"/>
        <v>91.239191157166431</v>
      </c>
      <c r="L146" s="304">
        <f t="shared" ca="1" si="58"/>
        <v>91.673800259118337</v>
      </c>
      <c r="M146" s="306">
        <f t="shared" ca="1" si="74"/>
        <v>1.4683798824687433</v>
      </c>
      <c r="N146" s="304">
        <f t="shared" ca="1" si="75"/>
        <v>84.131969987374845</v>
      </c>
      <c r="P146" s="310">
        <f t="shared" ca="1" si="76"/>
        <v>4</v>
      </c>
      <c r="Q146" s="304">
        <f t="shared" ca="1" si="77"/>
        <v>672.5999999999998</v>
      </c>
      <c r="R146" s="306">
        <f t="shared" ca="1" si="78"/>
        <v>0.33754660240870188</v>
      </c>
      <c r="S146" s="307">
        <f t="shared" ca="1" si="79"/>
        <v>7.3413331694496131</v>
      </c>
      <c r="T146" s="304">
        <f t="shared" ca="1" si="59"/>
        <v>72.018478392300707</v>
      </c>
      <c r="U146" s="311">
        <f t="shared" ca="1" si="60"/>
        <v>0</v>
      </c>
      <c r="V146" s="306">
        <f t="shared" ca="1" si="61"/>
        <v>1.2138739556476219</v>
      </c>
      <c r="W146" s="304">
        <f t="shared" ca="1" si="62"/>
        <v>47.931413736081666</v>
      </c>
      <c r="Y146" s="314" t="str">
        <f t="shared" ca="1" si="80"/>
        <v/>
      </c>
      <c r="Z146" s="315" t="str">
        <f t="shared" ca="1" si="81"/>
        <v/>
      </c>
      <c r="AA146" s="316" t="str">
        <f t="shared" ca="1" si="82"/>
        <v/>
      </c>
      <c r="AC146" s="310" t="e">
        <f t="shared" ca="1" si="83"/>
        <v>#N/A</v>
      </c>
      <c r="AD146" s="323" t="e">
        <f t="shared" ca="1" si="84"/>
        <v>#N/A</v>
      </c>
      <c r="AE146" s="324">
        <f t="shared" ca="1" si="63"/>
        <v>91.239191157166431</v>
      </c>
      <c r="AG146" s="306">
        <f t="shared" ca="1" si="85"/>
        <v>75.408107886977021</v>
      </c>
      <c r="AH146" s="304">
        <f t="shared" ca="1" si="86"/>
        <v>85.166783834764431</v>
      </c>
    </row>
    <row r="147" spans="1:34" x14ac:dyDescent="0.2">
      <c r="A147" s="347">
        <f t="shared" ca="1" si="64"/>
        <v>0.01</v>
      </c>
      <c r="B147" s="304">
        <f t="shared" ca="1" si="65"/>
        <v>1.430000000000001</v>
      </c>
      <c r="D147" s="306">
        <f t="shared" ca="1" si="66"/>
        <v>8.6810123938660162</v>
      </c>
      <c r="E147" s="307">
        <f t="shared" ca="1" si="67"/>
        <v>74.655332901478033</v>
      </c>
      <c r="F147" s="304">
        <f t="shared" ca="1" si="68"/>
        <v>75.158357531368154</v>
      </c>
      <c r="G147" s="306">
        <f t="shared" ca="1" si="69"/>
        <v>12.900534058257838</v>
      </c>
      <c r="H147" s="307">
        <f t="shared" ca="1" si="70"/>
        <v>125.42273264015924</v>
      </c>
      <c r="I147" s="304">
        <f t="shared" ca="1" si="71"/>
        <v>126.08443853986556</v>
      </c>
      <c r="J147" s="306">
        <f t="shared" ca="1" si="72"/>
        <v>9.0446046532230113</v>
      </c>
      <c r="K147" s="307">
        <f t="shared" ca="1" si="73"/>
        <v>92.489685716922949</v>
      </c>
      <c r="L147" s="304">
        <f t="shared" ca="1" si="58"/>
        <v>92.930871282627521</v>
      </c>
      <c r="M147" s="306">
        <f t="shared" ca="1" si="74"/>
        <v>1.468300336583569</v>
      </c>
      <c r="N147" s="304">
        <f t="shared" ca="1" si="75"/>
        <v>84.127412343876728</v>
      </c>
      <c r="P147" s="310">
        <f t="shared" ca="1" si="76"/>
        <v>4</v>
      </c>
      <c r="Q147" s="304">
        <f t="shared" ca="1" si="77"/>
        <v>670.99999999999977</v>
      </c>
      <c r="R147" s="306">
        <f t="shared" ca="1" si="78"/>
        <v>0.33674363695545489</v>
      </c>
      <c r="S147" s="307">
        <f t="shared" ca="1" si="79"/>
        <v>7.3379657330800585</v>
      </c>
      <c r="T147" s="304">
        <f t="shared" ca="1" si="59"/>
        <v>71.985443841515377</v>
      </c>
      <c r="U147" s="311">
        <f t="shared" ca="1" si="60"/>
        <v>0</v>
      </c>
      <c r="V147" s="306">
        <f t="shared" ca="1" si="61"/>
        <v>1.2137221676581205</v>
      </c>
      <c r="W147" s="304">
        <f t="shared" ca="1" si="62"/>
        <v>48.501880886232641</v>
      </c>
      <c r="Y147" s="314" t="str">
        <f t="shared" ca="1" si="80"/>
        <v/>
      </c>
      <c r="Z147" s="315" t="str">
        <f t="shared" ca="1" si="81"/>
        <v/>
      </c>
      <c r="AA147" s="316" t="str">
        <f t="shared" ca="1" si="82"/>
        <v/>
      </c>
      <c r="AC147" s="310" t="e">
        <f t="shared" ca="1" si="83"/>
        <v>#N/A</v>
      </c>
      <c r="AD147" s="323" t="e">
        <f t="shared" ca="1" si="84"/>
        <v>#N/A</v>
      </c>
      <c r="AE147" s="324">
        <f t="shared" ca="1" si="63"/>
        <v>92.489685716922949</v>
      </c>
      <c r="AG147" s="306">
        <f t="shared" ca="1" si="85"/>
        <v>75.151665307293982</v>
      </c>
      <c r="AH147" s="304">
        <f t="shared" ca="1" si="86"/>
        <v>84.910261089811542</v>
      </c>
    </row>
    <row r="148" spans="1:34" x14ac:dyDescent="0.2">
      <c r="A148" s="347">
        <f t="shared" ca="1" si="64"/>
        <v>0.01</v>
      </c>
      <c r="B148" s="304">
        <f t="shared" ca="1" si="65"/>
        <v>1.4400000000000011</v>
      </c>
      <c r="D148" s="306">
        <f t="shared" ca="1" si="66"/>
        <v>8.6614327219377927</v>
      </c>
      <c r="E148" s="307">
        <f t="shared" ca="1" si="67"/>
        <v>74.398960315789878</v>
      </c>
      <c r="F148" s="304">
        <f t="shared" ca="1" si="68"/>
        <v>74.90143999194629</v>
      </c>
      <c r="G148" s="306">
        <f t="shared" ca="1" si="69"/>
        <v>12.987148385477216</v>
      </c>
      <c r="H148" s="307">
        <f t="shared" ca="1" si="70"/>
        <v>126.16672224331714</v>
      </c>
      <c r="I148" s="304">
        <f t="shared" ca="1" si="71"/>
        <v>126.83338608114482</v>
      </c>
      <c r="J148" s="306">
        <f t="shared" ca="1" si="72"/>
        <v>9.1740430654416869</v>
      </c>
      <c r="K148" s="307">
        <f t="shared" ca="1" si="73"/>
        <v>93.747632991340325</v>
      </c>
      <c r="L148" s="304">
        <f t="shared" ca="1" si="58"/>
        <v>94.195444463337083</v>
      </c>
      <c r="M148" s="306">
        <f t="shared" ca="1" si="74"/>
        <v>1.4682211992120138</v>
      </c>
      <c r="N148" s="304">
        <f t="shared" ca="1" si="75"/>
        <v>84.122878106484862</v>
      </c>
      <c r="P148" s="310">
        <f t="shared" ca="1" si="76"/>
        <v>4</v>
      </c>
      <c r="Q148" s="304">
        <f t="shared" ca="1" si="77"/>
        <v>669.39999999999986</v>
      </c>
      <c r="R148" s="306">
        <f t="shared" ca="1" si="78"/>
        <v>0.33594067150220797</v>
      </c>
      <c r="S148" s="307">
        <f t="shared" ca="1" si="79"/>
        <v>7.3346063263650363</v>
      </c>
      <c r="T148" s="304">
        <f t="shared" ca="1" si="59"/>
        <v>71.952488061641006</v>
      </c>
      <c r="U148" s="311">
        <f t="shared" ca="1" si="60"/>
        <v>0</v>
      </c>
      <c r="V148" s="306">
        <f t="shared" ca="1" si="61"/>
        <v>1.2135694941021515</v>
      </c>
      <c r="W148" s="304">
        <f t="shared" ca="1" si="62"/>
        <v>49.07362545190179</v>
      </c>
      <c r="Y148" s="314" t="str">
        <f t="shared" ca="1" si="80"/>
        <v/>
      </c>
      <c r="Z148" s="315" t="str">
        <f t="shared" ca="1" si="81"/>
        <v/>
      </c>
      <c r="AA148" s="316" t="str">
        <f t="shared" ca="1" si="82"/>
        <v/>
      </c>
      <c r="AC148" s="310" t="e">
        <f t="shared" ca="1" si="83"/>
        <v>#N/A</v>
      </c>
      <c r="AD148" s="323" t="e">
        <f t="shared" ca="1" si="84"/>
        <v>#N/A</v>
      </c>
      <c r="AE148" s="324">
        <f t="shared" ca="1" si="63"/>
        <v>93.747632991340325</v>
      </c>
      <c r="AG148" s="306">
        <f t="shared" ca="1" si="85"/>
        <v>74.894714411803307</v>
      </c>
      <c r="AH148" s="304">
        <f t="shared" ca="1" si="86"/>
        <v>84.653230382915268</v>
      </c>
    </row>
    <row r="149" spans="1:34" x14ac:dyDescent="0.2">
      <c r="A149" s="347">
        <f t="shared" ca="1" si="64"/>
        <v>0.01</v>
      </c>
      <c r="B149" s="304">
        <f t="shared" ca="1" si="65"/>
        <v>1.4500000000000011</v>
      </c>
      <c r="D149" s="306">
        <f t="shared" ca="1" si="66"/>
        <v>8.6417265958042151</v>
      </c>
      <c r="E149" s="307">
        <f t="shared" ca="1" si="67"/>
        <v>74.142095314067234</v>
      </c>
      <c r="F149" s="304">
        <f t="shared" ca="1" si="68"/>
        <v>74.644020096166173</v>
      </c>
      <c r="G149" s="306">
        <f t="shared" ca="1" si="69"/>
        <v>13.073565651435258</v>
      </c>
      <c r="H149" s="307">
        <f t="shared" ca="1" si="70"/>
        <v>126.90814319645781</v>
      </c>
      <c r="I149" s="304">
        <f t="shared" ca="1" si="71"/>
        <v>127.57975908589509</v>
      </c>
      <c r="J149" s="306">
        <f t="shared" ca="1" si="72"/>
        <v>9.3043466356262492</v>
      </c>
      <c r="K149" s="307">
        <f t="shared" ca="1" si="73"/>
        <v>95.013007318539195</v>
      </c>
      <c r="L149" s="304">
        <f t="shared" ca="1" si="58"/>
        <v>95.467494080596211</v>
      </c>
      <c r="M149" s="306">
        <f t="shared" ca="1" si="74"/>
        <v>1.4681424642820107</v>
      </c>
      <c r="N149" s="304">
        <f t="shared" ca="1" si="75"/>
        <v>84.118366927295426</v>
      </c>
      <c r="P149" s="310">
        <f t="shared" ca="1" si="76"/>
        <v>4</v>
      </c>
      <c r="Q149" s="304">
        <f t="shared" ca="1" si="77"/>
        <v>667.79999999999984</v>
      </c>
      <c r="R149" s="306">
        <f t="shared" ca="1" si="78"/>
        <v>0.33513770604896098</v>
      </c>
      <c r="S149" s="307">
        <f t="shared" ca="1" si="79"/>
        <v>7.3312549493045465</v>
      </c>
      <c r="T149" s="304">
        <f t="shared" ca="1" si="59"/>
        <v>71.91961105267761</v>
      </c>
      <c r="U149" s="311">
        <f t="shared" ca="1" si="60"/>
        <v>0</v>
      </c>
      <c r="V149" s="306">
        <f t="shared" ca="1" si="61"/>
        <v>1.2134159384298164</v>
      </c>
      <c r="W149" s="304">
        <f t="shared" ca="1" si="62"/>
        <v>49.646606628511982</v>
      </c>
      <c r="Y149" s="314" t="str">
        <f t="shared" ca="1" si="80"/>
        <v/>
      </c>
      <c r="Z149" s="315" t="str">
        <f t="shared" ca="1" si="81"/>
        <v/>
      </c>
      <c r="AA149" s="316" t="str">
        <f t="shared" ca="1" si="82"/>
        <v/>
      </c>
      <c r="AC149" s="310" t="e">
        <f t="shared" ca="1" si="83"/>
        <v>#N/A</v>
      </c>
      <c r="AD149" s="323" t="e">
        <f t="shared" ca="1" si="84"/>
        <v>#N/A</v>
      </c>
      <c r="AE149" s="324">
        <f t="shared" ca="1" si="63"/>
        <v>95.013007318539195</v>
      </c>
      <c r="AG149" s="306">
        <f t="shared" ca="1" si="85"/>
        <v>74.637260930473573</v>
      </c>
      <c r="AH149" s="304">
        <f t="shared" ca="1" si="86"/>
        <v>84.395697438784524</v>
      </c>
    </row>
    <row r="150" spans="1:34" x14ac:dyDescent="0.2">
      <c r="A150" s="347">
        <f t="shared" ca="1" si="64"/>
        <v>0.01</v>
      </c>
      <c r="B150" s="304">
        <f t="shared" ca="1" si="65"/>
        <v>1.4600000000000011</v>
      </c>
      <c r="D150" s="306">
        <f t="shared" ca="1" si="66"/>
        <v>8.6218953070581339</v>
      </c>
      <c r="E150" s="307">
        <f t="shared" ca="1" si="67"/>
        <v>73.884743532563121</v>
      </c>
      <c r="F150" s="304">
        <f t="shared" ca="1" si="68"/>
        <v>74.386103578279318</v>
      </c>
      <c r="G150" s="306">
        <f t="shared" ca="1" si="69"/>
        <v>13.159784604505839</v>
      </c>
      <c r="H150" s="307">
        <f t="shared" ca="1" si="70"/>
        <v>127.64699063178344</v>
      </c>
      <c r="I150" s="304">
        <f t="shared" ca="1" si="71"/>
        <v>128.32355258559357</v>
      </c>
      <c r="J150" s="306">
        <f t="shared" ca="1" si="72"/>
        <v>9.4355133869059546</v>
      </c>
      <c r="K150" s="307">
        <f t="shared" ca="1" si="73"/>
        <v>96.285782987680406</v>
      </c>
      <c r="L150" s="304">
        <f t="shared" ca="1" si="58"/>
        <v>96.746994363779422</v>
      </c>
      <c r="M150" s="306">
        <f t="shared" ca="1" si="74"/>
        <v>1.4680641258440095</v>
      </c>
      <c r="N150" s="304">
        <f t="shared" ca="1" si="75"/>
        <v>84.113878465424307</v>
      </c>
      <c r="P150" s="310">
        <f t="shared" ca="1" si="76"/>
        <v>4</v>
      </c>
      <c r="Q150" s="304">
        <f t="shared" ca="1" si="77"/>
        <v>666.19999999999982</v>
      </c>
      <c r="R150" s="306">
        <f t="shared" ca="1" si="78"/>
        <v>0.33433474059571394</v>
      </c>
      <c r="S150" s="307">
        <f t="shared" ca="1" si="79"/>
        <v>7.327911601898589</v>
      </c>
      <c r="T150" s="304">
        <f t="shared" ca="1" si="59"/>
        <v>71.886812814625159</v>
      </c>
      <c r="U150" s="311">
        <f t="shared" ca="1" si="60"/>
        <v>0</v>
      </c>
      <c r="V150" s="306">
        <f t="shared" ca="1" si="61"/>
        <v>1.2132615040974628</v>
      </c>
      <c r="W150" s="304">
        <f t="shared" ca="1" si="62"/>
        <v>50.220783706355668</v>
      </c>
      <c r="Y150" s="314" t="str">
        <f t="shared" ca="1" si="80"/>
        <v/>
      </c>
      <c r="Z150" s="315" t="str">
        <f t="shared" ca="1" si="81"/>
        <v/>
      </c>
      <c r="AA150" s="316" t="str">
        <f t="shared" ca="1" si="82"/>
        <v/>
      </c>
      <c r="AC150" s="310" t="e">
        <f t="shared" ca="1" si="83"/>
        <v>#N/A</v>
      </c>
      <c r="AD150" s="323" t="e">
        <f t="shared" ca="1" si="84"/>
        <v>#N/A</v>
      </c>
      <c r="AE150" s="324">
        <f t="shared" ca="1" si="63"/>
        <v>96.285782987680406</v>
      </c>
      <c r="AG150" s="306">
        <f t="shared" ca="1" si="85"/>
        <v>74.37931059433879</v>
      </c>
      <c r="AH150" s="304">
        <f t="shared" ca="1" si="86"/>
        <v>84.137667983296211</v>
      </c>
    </row>
    <row r="151" spans="1:34" x14ac:dyDescent="0.2">
      <c r="A151" s="347">
        <f t="shared" ca="1" si="64"/>
        <v>0.01</v>
      </c>
      <c r="B151" s="304">
        <f t="shared" ca="1" si="65"/>
        <v>1.4700000000000011</v>
      </c>
      <c r="D151" s="306">
        <f t="shared" ca="1" si="66"/>
        <v>8.6019401338857904</v>
      </c>
      <c r="E151" s="307">
        <f t="shared" ca="1" si="67"/>
        <v>73.626910609412946</v>
      </c>
      <c r="F151" s="304">
        <f t="shared" ca="1" si="68"/>
        <v>74.127696173248495</v>
      </c>
      <c r="G151" s="306">
        <f t="shared" ca="1" si="69"/>
        <v>13.245804005844697</v>
      </c>
      <c r="H151" s="307">
        <f t="shared" ca="1" si="70"/>
        <v>128.38325973787758</v>
      </c>
      <c r="I151" s="304">
        <f t="shared" ca="1" si="71"/>
        <v>129.06476166903417</v>
      </c>
      <c r="J151" s="306">
        <f t="shared" ca="1" si="72"/>
        <v>9.5675413299577077</v>
      </c>
      <c r="K151" s="307">
        <f t="shared" ca="1" si="73"/>
        <v>97.565934239528715</v>
      </c>
      <c r="L151" s="304">
        <f t="shared" ca="1" si="58"/>
        <v>98.033919492859667</v>
      </c>
      <c r="M151" s="306">
        <f t="shared" ca="1" si="74"/>
        <v>1.4679861780676213</v>
      </c>
      <c r="N151" s="304">
        <f t="shared" ca="1" si="75"/>
        <v>84.109412386814839</v>
      </c>
      <c r="P151" s="310">
        <f t="shared" ca="1" si="76"/>
        <v>4</v>
      </c>
      <c r="Q151" s="304">
        <f t="shared" ca="1" si="77"/>
        <v>664.5999999999998</v>
      </c>
      <c r="R151" s="306">
        <f t="shared" ca="1" si="78"/>
        <v>0.33353177514246696</v>
      </c>
      <c r="S151" s="307">
        <f t="shared" ca="1" si="79"/>
        <v>7.324576284147164</v>
      </c>
      <c r="T151" s="304">
        <f t="shared" ca="1" si="59"/>
        <v>71.854093347483683</v>
      </c>
      <c r="U151" s="311">
        <f t="shared" ca="1" si="60"/>
        <v>0</v>
      </c>
      <c r="V151" s="306">
        <f t="shared" ca="1" si="61"/>
        <v>1.2131061945675914</v>
      </c>
      <c r="W151" s="304">
        <f t="shared" ca="1" si="62"/>
        <v>50.796116072972637</v>
      </c>
      <c r="Y151" s="314" t="str">
        <f t="shared" ca="1" si="80"/>
        <v/>
      </c>
      <c r="Z151" s="315" t="str">
        <f t="shared" ca="1" si="81"/>
        <v/>
      </c>
      <c r="AA151" s="316" t="str">
        <f t="shared" ca="1" si="82"/>
        <v/>
      </c>
      <c r="AC151" s="310" t="e">
        <f t="shared" ca="1" si="83"/>
        <v>#N/A</v>
      </c>
      <c r="AD151" s="323" t="e">
        <f t="shared" ca="1" si="84"/>
        <v>#N/A</v>
      </c>
      <c r="AE151" s="324">
        <f t="shared" ca="1" si="63"/>
        <v>97.565934239528715</v>
      </c>
      <c r="AG151" s="306">
        <f t="shared" ca="1" si="85"/>
        <v>74.12086913511385</v>
      </c>
      <c r="AH151" s="304">
        <f t="shared" ca="1" si="86"/>
        <v>83.879147743107893</v>
      </c>
    </row>
    <row r="152" spans="1:34" x14ac:dyDescent="0.2">
      <c r="A152" s="347">
        <f t="shared" ca="1" si="64"/>
        <v>0.01</v>
      </c>
      <c r="B152" s="304">
        <f t="shared" ca="1" si="65"/>
        <v>1.4800000000000011</v>
      </c>
      <c r="D152" s="306">
        <f t="shared" ca="1" si="66"/>
        <v>8.5818623414126787</v>
      </c>
      <c r="E152" s="307">
        <f t="shared" ca="1" si="67"/>
        <v>73.368602184219199</v>
      </c>
      <c r="F152" s="304">
        <f t="shared" ca="1" si="68"/>
        <v>73.868803616365483</v>
      </c>
      <c r="G152" s="306">
        <f t="shared" ca="1" si="69"/>
        <v>13.331622629258824</v>
      </c>
      <c r="H152" s="307">
        <f t="shared" ca="1" si="70"/>
        <v>129.11694575971978</v>
      </c>
      <c r="I152" s="304">
        <f t="shared" ca="1" si="71"/>
        <v>129.80338148233037</v>
      </c>
      <c r="J152" s="306">
        <f t="shared" ca="1" si="72"/>
        <v>9.7004284631332247</v>
      </c>
      <c r="K152" s="307">
        <f t="shared" ca="1" si="73"/>
        <v>98.853435267016707</v>
      </c>
      <c r="L152" s="304">
        <f t="shared" ca="1" si="58"/>
        <v>99.328243598981601</v>
      </c>
      <c r="M152" s="306">
        <f t="shared" ca="1" si="74"/>
        <v>1.4679086152383816</v>
      </c>
      <c r="N152" s="304">
        <f t="shared" ca="1" si="75"/>
        <v>84.104968364052311</v>
      </c>
      <c r="P152" s="310">
        <f t="shared" ca="1" si="76"/>
        <v>4</v>
      </c>
      <c r="Q152" s="304">
        <f t="shared" ca="1" si="77"/>
        <v>662.99999999999977</v>
      </c>
      <c r="R152" s="306">
        <f t="shared" ca="1" si="78"/>
        <v>0.33272880968921997</v>
      </c>
      <c r="S152" s="307">
        <f t="shared" ca="1" si="79"/>
        <v>7.3212489960502722</v>
      </c>
      <c r="T152" s="304">
        <f t="shared" ca="1" si="59"/>
        <v>71.821452651253168</v>
      </c>
      <c r="U152" s="311">
        <f t="shared" ca="1" si="60"/>
        <v>0</v>
      </c>
      <c r="V152" s="306">
        <f t="shared" ca="1" si="61"/>
        <v>1.2129500133087581</v>
      </c>
      <c r="W152" s="304">
        <f t="shared" ca="1" si="62"/>
        <v>51.372563215507697</v>
      </c>
      <c r="Y152" s="314" t="str">
        <f t="shared" ca="1" si="80"/>
        <v/>
      </c>
      <c r="Z152" s="315" t="str">
        <f t="shared" ca="1" si="81"/>
        <v/>
      </c>
      <c r="AA152" s="316" t="str">
        <f t="shared" ca="1" si="82"/>
        <v/>
      </c>
      <c r="AC152" s="310" t="e">
        <f t="shared" ca="1" si="83"/>
        <v>#N/A</v>
      </c>
      <c r="AD152" s="323" t="e">
        <f t="shared" ca="1" si="84"/>
        <v>#N/A</v>
      </c>
      <c r="AE152" s="324">
        <f t="shared" ca="1" si="63"/>
        <v>98.853435267016707</v>
      </c>
      <c r="AG152" s="306">
        <f t="shared" ca="1" si="85"/>
        <v>73.861942284811235</v>
      </c>
      <c r="AH152" s="304">
        <f t="shared" ca="1" si="86"/>
        <v>83.620142445271838</v>
      </c>
    </row>
    <row r="153" spans="1:34" x14ac:dyDescent="0.2">
      <c r="A153" s="347">
        <f t="shared" ca="1" si="64"/>
        <v>0.01</v>
      </c>
      <c r="B153" s="304">
        <f t="shared" ca="1" si="65"/>
        <v>1.4900000000000011</v>
      </c>
      <c r="D153" s="306">
        <f t="shared" ca="1" si="66"/>
        <v>8.5616631820359377</v>
      </c>
      <c r="E153" s="307">
        <f t="shared" ca="1" si="67"/>
        <v>73.109823897639259</v>
      </c>
      <c r="F153" s="304">
        <f t="shared" ca="1" si="68"/>
        <v>73.609431642870703</v>
      </c>
      <c r="G153" s="306">
        <f t="shared" ca="1" si="69"/>
        <v>13.417239261079184</v>
      </c>
      <c r="H153" s="307">
        <f t="shared" ca="1" si="70"/>
        <v>129.84804399869617</v>
      </c>
      <c r="I153" s="304">
        <f t="shared" ca="1" si="71"/>
        <v>130.53940722891451</v>
      </c>
      <c r="J153" s="306">
        <f t="shared" ca="1" si="72"/>
        <v>9.834172772584914</v>
      </c>
      <c r="K153" s="307">
        <f t="shared" ca="1" si="73"/>
        <v>100.14826021580879</v>
      </c>
      <c r="L153" s="304">
        <f t="shared" ca="1" si="58"/>
        <v>100.62994076503473</v>
      </c>
      <c r="M153" s="306">
        <f t="shared" ca="1" si="74"/>
        <v>1.4678314317546175</v>
      </c>
      <c r="N153" s="304">
        <f t="shared" ca="1" si="75"/>
        <v>84.1005460761845</v>
      </c>
      <c r="P153" s="310">
        <f t="shared" ca="1" si="76"/>
        <v>4</v>
      </c>
      <c r="Q153" s="304">
        <f t="shared" ca="1" si="77"/>
        <v>661.39999999999986</v>
      </c>
      <c r="R153" s="306">
        <f t="shared" ca="1" si="78"/>
        <v>0.33192584423597304</v>
      </c>
      <c r="S153" s="307">
        <f t="shared" ca="1" si="79"/>
        <v>7.3179297376079129</v>
      </c>
      <c r="T153" s="304">
        <f t="shared" ca="1" si="59"/>
        <v>71.788890725933626</v>
      </c>
      <c r="U153" s="311">
        <f t="shared" ca="1" si="60"/>
        <v>0</v>
      </c>
      <c r="V153" s="306">
        <f t="shared" ca="1" si="61"/>
        <v>1.2127929637954771</v>
      </c>
      <c r="W153" s="304">
        <f t="shared" ca="1" si="62"/>
        <v>51.950084723048782</v>
      </c>
      <c r="Y153" s="314" t="str">
        <f t="shared" ca="1" si="80"/>
        <v/>
      </c>
      <c r="Z153" s="315" t="str">
        <f t="shared" ca="1" si="81"/>
        <v/>
      </c>
      <c r="AA153" s="316" t="str">
        <f t="shared" ca="1" si="82"/>
        <v/>
      </c>
      <c r="AC153" s="310" t="e">
        <f t="shared" ca="1" si="83"/>
        <v>#N/A</v>
      </c>
      <c r="AD153" s="323" t="e">
        <f t="shared" ca="1" si="84"/>
        <v>#N/A</v>
      </c>
      <c r="AE153" s="324">
        <f t="shared" ca="1" si="63"/>
        <v>100.14826021580879</v>
      </c>
      <c r="AG153" s="306">
        <f t="shared" ca="1" si="85"/>
        <v>73.602535775359641</v>
      </c>
      <c r="AH153" s="304">
        <f t="shared" ca="1" si="86"/>
        <v>83.360657816851088</v>
      </c>
    </row>
    <row r="154" spans="1:34" x14ac:dyDescent="0.2">
      <c r="A154" s="347">
        <f t="shared" ca="1" si="64"/>
        <v>0.01</v>
      </c>
      <c r="B154" s="304">
        <f t="shared" ca="1" si="65"/>
        <v>1.5000000000000011</v>
      </c>
      <c r="D154" s="306">
        <f t="shared" ca="1" si="66"/>
        <v>8.5413438957445074</v>
      </c>
      <c r="E154" s="307">
        <f t="shared" ca="1" si="67"/>
        <v>72.850581390975435</v>
      </c>
      <c r="F154" s="304">
        <f t="shared" ca="1" si="68"/>
        <v>73.349585987573974</v>
      </c>
      <c r="G154" s="306">
        <f t="shared" ca="1" si="69"/>
        <v>13.502652700036629</v>
      </c>
      <c r="H154" s="307">
        <f t="shared" ca="1" si="70"/>
        <v>130.57654981260592</v>
      </c>
      <c r="I154" s="304">
        <f t="shared" ca="1" si="71"/>
        <v>131.27283416953318</v>
      </c>
      <c r="J154" s="306">
        <f t="shared" ca="1" si="72"/>
        <v>9.9687722323904921</v>
      </c>
      <c r="K154" s="307">
        <f t="shared" ca="1" si="73"/>
        <v>101.4503831848653</v>
      </c>
      <c r="L154" s="304">
        <f t="shared" ca="1" si="58"/>
        <v>101.93898502622675</v>
      </c>
      <c r="M154" s="306">
        <f t="shared" ca="1" si="74"/>
        <v>1.4677546221244253</v>
      </c>
      <c r="N154" s="304">
        <f t="shared" ca="1" si="75"/>
        <v>84.096145208548535</v>
      </c>
      <c r="P154" s="310">
        <f t="shared" ca="1" si="76"/>
        <v>4</v>
      </c>
      <c r="Q154" s="304">
        <f t="shared" ca="1" si="77"/>
        <v>659.79999999999984</v>
      </c>
      <c r="R154" s="306">
        <f t="shared" ca="1" si="78"/>
        <v>0.331122878782726</v>
      </c>
      <c r="S154" s="307">
        <f t="shared" ca="1" si="79"/>
        <v>7.3146185088200859</v>
      </c>
      <c r="T154" s="304">
        <f t="shared" ca="1" si="59"/>
        <v>71.756407571525045</v>
      </c>
      <c r="U154" s="311">
        <f t="shared" ca="1" si="60"/>
        <v>0</v>
      </c>
      <c r="V154" s="306">
        <f t="shared" ca="1" si="61"/>
        <v>1.2126350495081271</v>
      </c>
      <c r="W154" s="304">
        <f t="shared" ca="1" si="62"/>
        <v>52.528640288944921</v>
      </c>
      <c r="Y154" s="314" t="str">
        <f t="shared" ca="1" si="80"/>
        <v/>
      </c>
      <c r="Z154" s="315" t="str">
        <f t="shared" ca="1" si="81"/>
        <v/>
      </c>
      <c r="AA154" s="316" t="str">
        <f t="shared" ca="1" si="82"/>
        <v/>
      </c>
      <c r="AC154" s="310" t="e">
        <f t="shared" ca="1" si="83"/>
        <v>#N/A</v>
      </c>
      <c r="AD154" s="323" t="e">
        <f t="shared" ca="1" si="84"/>
        <v>#N/A</v>
      </c>
      <c r="AE154" s="324">
        <f t="shared" ca="1" si="63"/>
        <v>101.4503831848653</v>
      </c>
      <c r="AG154" s="306">
        <f t="shared" ca="1" si="85"/>
        <v>73.342655338223949</v>
      </c>
      <c r="AH154" s="304">
        <f t="shared" ca="1" si="86"/>
        <v>83.100699584536869</v>
      </c>
    </row>
    <row r="155" spans="1:34" x14ac:dyDescent="0.2">
      <c r="A155" s="347">
        <f t="shared" ca="1" si="64"/>
        <v>0.01</v>
      </c>
      <c r="B155" s="304">
        <f t="shared" ca="1" si="65"/>
        <v>1.5100000000000011</v>
      </c>
      <c r="D155" s="306">
        <f t="shared" ca="1" si="66"/>
        <v>8.5218909169924171</v>
      </c>
      <c r="E155" s="307">
        <f t="shared" ca="1" si="67"/>
        <v>72.600407683612815</v>
      </c>
      <c r="F155" s="304">
        <f t="shared" ca="1" si="68"/>
        <v>73.09884965324629</v>
      </c>
      <c r="G155" s="306">
        <f t="shared" ca="1" si="69"/>
        <v>13.587871609206553</v>
      </c>
      <c r="H155" s="307">
        <f t="shared" ca="1" si="70"/>
        <v>131.30255388944204</v>
      </c>
      <c r="I155" s="304">
        <f t="shared" ca="1" si="71"/>
        <v>132.00375340405327</v>
      </c>
      <c r="J155" s="306">
        <f t="shared" ca="1" si="72"/>
        <v>10.104224853936708</v>
      </c>
      <c r="K155" s="307">
        <f t="shared" ca="1" si="73"/>
        <v>102.75977870337555</v>
      </c>
      <c r="L155" s="304">
        <f t="shared" ca="1" si="58"/>
        <v>103.25535084955949</v>
      </c>
      <c r="M155" s="306">
        <f t="shared" ca="1" si="74"/>
        <v>1.4676781810182105</v>
      </c>
      <c r="N155" s="304">
        <f t="shared" ca="1" si="75"/>
        <v>84.091765455781115</v>
      </c>
      <c r="P155" s="310">
        <f t="shared" ca="1" si="76"/>
        <v>5</v>
      </c>
      <c r="Q155" s="304">
        <f t="shared" ca="1" si="77"/>
        <v>658.26999999999987</v>
      </c>
      <c r="R155" s="306">
        <f t="shared" ca="1" si="78"/>
        <v>0.33035504306805863</v>
      </c>
      <c r="S155" s="307">
        <f t="shared" ca="1" si="79"/>
        <v>7.3113149583894055</v>
      </c>
      <c r="T155" s="304">
        <f t="shared" ca="1" si="59"/>
        <v>71.723999741800071</v>
      </c>
      <c r="U155" s="311">
        <f t="shared" ca="1" si="60"/>
        <v>0</v>
      </c>
      <c r="V155" s="306">
        <f t="shared" ca="1" si="61"/>
        <v>1.2124762738750936</v>
      </c>
      <c r="W155" s="304">
        <f t="shared" ca="1" si="62"/>
        <v>53.108266781174962</v>
      </c>
      <c r="Y155" s="314" t="str">
        <f t="shared" ca="1" si="80"/>
        <v/>
      </c>
      <c r="Z155" s="315" t="str">
        <f t="shared" ca="1" si="81"/>
        <v/>
      </c>
      <c r="AA155" s="316" t="str">
        <f t="shared" ca="1" si="82"/>
        <v/>
      </c>
      <c r="AC155" s="310" t="e">
        <f t="shared" ca="1" si="83"/>
        <v>#N/A</v>
      </c>
      <c r="AD155" s="323" t="e">
        <f t="shared" ca="1" si="84"/>
        <v>#N/A</v>
      </c>
      <c r="AE155" s="324">
        <f t="shared" ca="1" si="63"/>
        <v>102.75977870337555</v>
      </c>
      <c r="AG155" s="306">
        <f t="shared" ca="1" si="85"/>
        <v>73.091884885512656</v>
      </c>
      <c r="AH155" s="304">
        <f t="shared" ca="1" si="86"/>
        <v>82.849851655753668</v>
      </c>
    </row>
    <row r="156" spans="1:34" x14ac:dyDescent="0.2">
      <c r="A156" s="347">
        <f t="shared" ca="1" si="64"/>
        <v>0.01</v>
      </c>
      <c r="B156" s="304">
        <f t="shared" ca="1" si="65"/>
        <v>1.5200000000000011</v>
      </c>
      <c r="D156" s="306">
        <f t="shared" ca="1" si="66"/>
        <v>8.5033082954582397</v>
      </c>
      <c r="E156" s="307">
        <f t="shared" ca="1" si="67"/>
        <v>72.359314504447326</v>
      </c>
      <c r="F156" s="304">
        <f t="shared" ca="1" si="68"/>
        <v>72.857234695815421</v>
      </c>
      <c r="G156" s="306">
        <f t="shared" ca="1" si="69"/>
        <v>13.672904692161136</v>
      </c>
      <c r="H156" s="307">
        <f t="shared" ca="1" si="70"/>
        <v>132.02614703448651</v>
      </c>
      <c r="I156" s="304">
        <f t="shared" ca="1" si="71"/>
        <v>132.73225615310233</v>
      </c>
      <c r="J156" s="306">
        <f t="shared" ca="1" si="72"/>
        <v>10.240528735443547</v>
      </c>
      <c r="K156" s="307">
        <f t="shared" ca="1" si="73"/>
        <v>104.07642220799519</v>
      </c>
      <c r="L156" s="304">
        <f t="shared" ca="1" si="58"/>
        <v>104.57901361362288</v>
      </c>
      <c r="M156" s="306">
        <f t="shared" ca="1" si="74"/>
        <v>1.4676021032636726</v>
      </c>
      <c r="N156" s="304">
        <f t="shared" ca="1" si="75"/>
        <v>84.087406521531264</v>
      </c>
      <c r="P156" s="310">
        <f t="shared" ca="1" si="76"/>
        <v>5</v>
      </c>
      <c r="Q156" s="304">
        <f t="shared" ca="1" si="77"/>
        <v>656.80999999999983</v>
      </c>
      <c r="R156" s="306">
        <f t="shared" ca="1" si="78"/>
        <v>0.3296223370919707</v>
      </c>
      <c r="S156" s="307">
        <f t="shared" ca="1" si="79"/>
        <v>7.3080187350184858</v>
      </c>
      <c r="T156" s="304">
        <f t="shared" ca="1" si="59"/>
        <v>71.691663790531351</v>
      </c>
      <c r="U156" s="311">
        <f t="shared" ca="1" si="60"/>
        <v>0</v>
      </c>
      <c r="V156" s="306">
        <f t="shared" ca="1" si="61"/>
        <v>1.212316640214921</v>
      </c>
      <c r="W156" s="304">
        <f t="shared" ca="1" si="62"/>
        <v>53.689002882872543</v>
      </c>
      <c r="Y156" s="314" t="str">
        <f t="shared" ca="1" si="80"/>
        <v/>
      </c>
      <c r="Z156" s="315" t="str">
        <f t="shared" ca="1" si="81"/>
        <v/>
      </c>
      <c r="AA156" s="316" t="str">
        <f t="shared" ca="1" si="82"/>
        <v/>
      </c>
      <c r="AC156" s="310" t="e">
        <f t="shared" ca="1" si="83"/>
        <v>#N/A</v>
      </c>
      <c r="AD156" s="323" t="e">
        <f t="shared" ca="1" si="84"/>
        <v>#N/A</v>
      </c>
      <c r="AE156" s="324">
        <f t="shared" ca="1" si="63"/>
        <v>104.07642220799519</v>
      </c>
      <c r="AG156" s="306">
        <f t="shared" ca="1" si="85"/>
        <v>72.850236493352497</v>
      </c>
      <c r="AH156" s="304">
        <f t="shared" ca="1" si="86"/>
        <v>82.608126102087482</v>
      </c>
    </row>
    <row r="157" spans="1:34" x14ac:dyDescent="0.2">
      <c r="A157" s="347">
        <f t="shared" ca="1" si="64"/>
        <v>0.01</v>
      </c>
      <c r="B157" s="304">
        <f t="shared" ca="1" si="65"/>
        <v>1.5300000000000011</v>
      </c>
      <c r="D157" s="306">
        <f t="shared" ca="1" si="66"/>
        <v>8.4846124655651796</v>
      </c>
      <c r="E157" s="307">
        <f t="shared" ca="1" si="67"/>
        <v>72.117777464254942</v>
      </c>
      <c r="F157" s="304">
        <f t="shared" ca="1" si="68"/>
        <v>72.615166976841849</v>
      </c>
      <c r="G157" s="306">
        <f t="shared" ca="1" si="69"/>
        <v>13.757750816816788</v>
      </c>
      <c r="H157" s="307">
        <f t="shared" ca="1" si="70"/>
        <v>132.74732480912905</v>
      </c>
      <c r="I157" s="304">
        <f t="shared" ca="1" si="71"/>
        <v>133.4583378868403</v>
      </c>
      <c r="J157" s="306">
        <f t="shared" ca="1" si="72"/>
        <v>10.377682012988437</v>
      </c>
      <c r="K157" s="307">
        <f t="shared" ca="1" si="73"/>
        <v>105.40028956721328</v>
      </c>
      <c r="L157" s="304">
        <f t="shared" ca="1" si="58"/>
        <v>105.90994913045286</v>
      </c>
      <c r="M157" s="306">
        <f t="shared" ca="1" si="74"/>
        <v>1.4675263837865917</v>
      </c>
      <c r="N157" s="304">
        <f t="shared" ca="1" si="75"/>
        <v>84.08306811506759</v>
      </c>
      <c r="P157" s="310">
        <f t="shared" ca="1" si="76"/>
        <v>5</v>
      </c>
      <c r="Q157" s="304">
        <f t="shared" ca="1" si="77"/>
        <v>655.3499999999998</v>
      </c>
      <c r="R157" s="306">
        <f t="shared" ca="1" si="78"/>
        <v>0.32888963111588282</v>
      </c>
      <c r="S157" s="307">
        <f t="shared" ca="1" si="79"/>
        <v>7.3047298387073267</v>
      </c>
      <c r="T157" s="304">
        <f t="shared" ca="1" si="59"/>
        <v>71.659399717718884</v>
      </c>
      <c r="U157" s="311">
        <f t="shared" ca="1" si="60"/>
        <v>0</v>
      </c>
      <c r="V157" s="306">
        <f t="shared" ca="1" si="61"/>
        <v>1.2121561517940198</v>
      </c>
      <c r="W157" s="304">
        <f t="shared" ca="1" si="62"/>
        <v>54.270811110126047</v>
      </c>
      <c r="Y157" s="314" t="str">
        <f t="shared" ca="1" si="80"/>
        <v/>
      </c>
      <c r="Z157" s="315" t="str">
        <f t="shared" ca="1" si="81"/>
        <v/>
      </c>
      <c r="AA157" s="316" t="str">
        <f t="shared" ca="1" si="82"/>
        <v/>
      </c>
      <c r="AC157" s="310" t="e">
        <f t="shared" ca="1" si="83"/>
        <v>#N/A</v>
      </c>
      <c r="AD157" s="323" t="e">
        <f t="shared" ca="1" si="84"/>
        <v>#N/A</v>
      </c>
      <c r="AE157" s="324">
        <f t="shared" ca="1" si="63"/>
        <v>105.40028956721328</v>
      </c>
      <c r="AG157" s="306">
        <f t="shared" ca="1" si="85"/>
        <v>72.608135115033548</v>
      </c>
      <c r="AH157" s="304">
        <f t="shared" ca="1" si="86"/>
        <v>82.365947872426659</v>
      </c>
    </row>
    <row r="158" spans="1:34" x14ac:dyDescent="0.2">
      <c r="A158" s="347">
        <f t="shared" ca="1" si="64"/>
        <v>0.01</v>
      </c>
      <c r="B158" s="304">
        <f t="shared" ca="1" si="65"/>
        <v>1.5400000000000011</v>
      </c>
      <c r="D158" s="306">
        <f t="shared" ca="1" si="66"/>
        <v>8.465804544044607</v>
      </c>
      <c r="E158" s="307">
        <f t="shared" ca="1" si="67"/>
        <v>71.875801737679154</v>
      </c>
      <c r="F158" s="304">
        <f t="shared" ca="1" si="68"/>
        <v>72.372651754734875</v>
      </c>
      <c r="G158" s="306">
        <f t="shared" ca="1" si="69"/>
        <v>13.842408862257233</v>
      </c>
      <c r="H158" s="307">
        <f t="shared" ca="1" si="70"/>
        <v>133.46608282650584</v>
      </c>
      <c r="I158" s="304">
        <f t="shared" ca="1" si="71"/>
        <v>134.18199412798131</v>
      </c>
      <c r="J158" s="306">
        <f t="shared" ca="1" si="72"/>
        <v>10.515682811383806</v>
      </c>
      <c r="K158" s="307">
        <f t="shared" ca="1" si="73"/>
        <v>106.73135660539145</v>
      </c>
      <c r="L158" s="304">
        <f t="shared" ca="1" si="58"/>
        <v>107.24813316704804</v>
      </c>
      <c r="M158" s="306">
        <f t="shared" ca="1" si="74"/>
        <v>1.4674510176083029</v>
      </c>
      <c r="N158" s="304">
        <f t="shared" ca="1" si="75"/>
        <v>84.078749951133602</v>
      </c>
      <c r="P158" s="310">
        <f t="shared" ca="1" si="76"/>
        <v>5</v>
      </c>
      <c r="Q158" s="304">
        <f t="shared" ca="1" si="77"/>
        <v>653.88999999999987</v>
      </c>
      <c r="R158" s="306">
        <f t="shared" ca="1" si="78"/>
        <v>0.328156925139795</v>
      </c>
      <c r="S158" s="307">
        <f t="shared" ca="1" si="79"/>
        <v>7.3014482694559284</v>
      </c>
      <c r="T158" s="304">
        <f t="shared" ca="1" si="59"/>
        <v>71.627207523362657</v>
      </c>
      <c r="U158" s="311">
        <f t="shared" ca="1" si="60"/>
        <v>0</v>
      </c>
      <c r="V158" s="306">
        <f t="shared" ca="1" si="61"/>
        <v>1.211994811884364</v>
      </c>
      <c r="W158" s="304">
        <f t="shared" ca="1" si="62"/>
        <v>54.853654069023079</v>
      </c>
      <c r="Y158" s="314" t="str">
        <f t="shared" ca="1" si="80"/>
        <v/>
      </c>
      <c r="Z158" s="315" t="str">
        <f t="shared" ca="1" si="81"/>
        <v/>
      </c>
      <c r="AA158" s="316" t="str">
        <f t="shared" ca="1" si="82"/>
        <v/>
      </c>
      <c r="AC158" s="310" t="e">
        <f t="shared" ca="1" si="83"/>
        <v>#N/A</v>
      </c>
      <c r="AD158" s="323" t="e">
        <f t="shared" ca="1" si="84"/>
        <v>#N/A</v>
      </c>
      <c r="AE158" s="324">
        <f t="shared" ca="1" si="63"/>
        <v>106.73135660539145</v>
      </c>
      <c r="AG158" s="306">
        <f t="shared" ca="1" si="85"/>
        <v>72.365586006008613</v>
      </c>
      <c r="AH158" s="304">
        <f t="shared" ca="1" si="86"/>
        <v>82.123322217902228</v>
      </c>
    </row>
    <row r="159" spans="1:34" x14ac:dyDescent="0.2">
      <c r="A159" s="347">
        <f t="shared" ca="1" si="64"/>
        <v>0.01</v>
      </c>
      <c r="B159" s="304">
        <f t="shared" ca="1" si="65"/>
        <v>1.5500000000000012</v>
      </c>
      <c r="D159" s="306">
        <f t="shared" ca="1" si="66"/>
        <v>8.4468856374540522</v>
      </c>
      <c r="E159" s="307">
        <f t="shared" ca="1" si="67"/>
        <v>71.633392500012292</v>
      </c>
      <c r="F159" s="304">
        <f t="shared" ca="1" si="68"/>
        <v>72.129694287672152</v>
      </c>
      <c r="G159" s="306">
        <f t="shared" ca="1" si="69"/>
        <v>13.926877718631774</v>
      </c>
      <c r="H159" s="307">
        <f t="shared" ca="1" si="70"/>
        <v>134.18241675150597</v>
      </c>
      <c r="I159" s="304">
        <f t="shared" ca="1" si="71"/>
        <v>134.9032204517911</v>
      </c>
      <c r="J159" s="306">
        <f t="shared" ca="1" si="72"/>
        <v>10.654529244288252</v>
      </c>
      <c r="K159" s="307">
        <f t="shared" ca="1" si="73"/>
        <v>108.06959910328152</v>
      </c>
      <c r="L159" s="304">
        <f t="shared" ca="1" si="58"/>
        <v>108.5935414458953</v>
      </c>
      <c r="M159" s="306">
        <f t="shared" ca="1" si="74"/>
        <v>1.4673759998432505</v>
      </c>
      <c r="N159" s="304">
        <f t="shared" ca="1" si="75"/>
        <v>84.074451749807608</v>
      </c>
      <c r="P159" s="310">
        <f t="shared" ca="1" si="76"/>
        <v>5</v>
      </c>
      <c r="Q159" s="304">
        <f t="shared" ca="1" si="77"/>
        <v>652.42999999999984</v>
      </c>
      <c r="R159" s="306">
        <f t="shared" ca="1" si="78"/>
        <v>0.32742421916370706</v>
      </c>
      <c r="S159" s="307">
        <f t="shared" ca="1" si="79"/>
        <v>7.2981740272642917</v>
      </c>
      <c r="T159" s="304">
        <f t="shared" ca="1" si="59"/>
        <v>71.595087207462711</v>
      </c>
      <c r="U159" s="311">
        <f t="shared" ca="1" si="60"/>
        <v>0</v>
      </c>
      <c r="V159" s="306">
        <f t="shared" ca="1" si="61"/>
        <v>1.2118326237634047</v>
      </c>
      <c r="W159" s="304">
        <f t="shared" ca="1" si="62"/>
        <v>55.437494457720817</v>
      </c>
      <c r="Y159" s="314" t="str">
        <f t="shared" ca="1" si="80"/>
        <v/>
      </c>
      <c r="Z159" s="315" t="str">
        <f t="shared" ca="1" si="81"/>
        <v/>
      </c>
      <c r="AA159" s="316" t="str">
        <f t="shared" ca="1" si="82"/>
        <v/>
      </c>
      <c r="AC159" s="310" t="e">
        <f t="shared" ca="1" si="83"/>
        <v>#N/A</v>
      </c>
      <c r="AD159" s="323" t="e">
        <f t="shared" ca="1" si="84"/>
        <v>#N/A</v>
      </c>
      <c r="AE159" s="324">
        <f t="shared" ca="1" si="63"/>
        <v>108.06959910328152</v>
      </c>
      <c r="AG159" s="306">
        <f t="shared" ca="1" si="85"/>
        <v>72.122594421471064</v>
      </c>
      <c r="AH159" s="304">
        <f t="shared" ca="1" si="86"/>
        <v>81.880254389463673</v>
      </c>
    </row>
    <row r="160" spans="1:34" x14ac:dyDescent="0.2">
      <c r="A160" s="347">
        <f t="shared" ca="1" si="64"/>
        <v>0.01</v>
      </c>
      <c r="B160" s="304">
        <f t="shared" ca="1" si="65"/>
        <v>1.5600000000000012</v>
      </c>
      <c r="D160" s="306">
        <f t="shared" ca="1" si="66"/>
        <v>8.4278568424161744</v>
      </c>
      <c r="E160" s="307">
        <f t="shared" ca="1" si="67"/>
        <v>71.390554926838163</v>
      </c>
      <c r="F160" s="304">
        <f t="shared" ca="1" si="68"/>
        <v>71.886299833265568</v>
      </c>
      <c r="G160" s="306">
        <f t="shared" ca="1" si="69"/>
        <v>14.011156287055936</v>
      </c>
      <c r="H160" s="307">
        <f t="shared" ca="1" si="70"/>
        <v>134.89632230077436</v>
      </c>
      <c r="I160" s="304">
        <f t="shared" ca="1" si="71"/>
        <v>135.62201248608096</v>
      </c>
      <c r="J160" s="306">
        <f t="shared" ca="1" si="72"/>
        <v>10.794219414316691</v>
      </c>
      <c r="K160" s="307">
        <f t="shared" ca="1" si="73"/>
        <v>109.41499279854293</v>
      </c>
      <c r="L160" s="304">
        <f t="shared" ca="1" si="58"/>
        <v>109.94614964549514</v>
      </c>
      <c r="M160" s="306">
        <f t="shared" ca="1" si="74"/>
        <v>1.4673013256966214</v>
      </c>
      <c r="N160" s="304">
        <f t="shared" ca="1" si="75"/>
        <v>84.070173236367012</v>
      </c>
      <c r="P160" s="310">
        <f t="shared" ca="1" si="76"/>
        <v>5</v>
      </c>
      <c r="Q160" s="304">
        <f t="shared" ca="1" si="77"/>
        <v>650.9699999999998</v>
      </c>
      <c r="R160" s="306">
        <f t="shared" ca="1" si="78"/>
        <v>0.32669151318761919</v>
      </c>
      <c r="S160" s="307">
        <f t="shared" ca="1" si="79"/>
        <v>7.2949071121324156</v>
      </c>
      <c r="T160" s="304">
        <f t="shared" ca="1" si="59"/>
        <v>71.563038770019006</v>
      </c>
      <c r="U160" s="311">
        <f t="shared" ca="1" si="60"/>
        <v>0</v>
      </c>
      <c r="V160" s="306">
        <f t="shared" ca="1" si="61"/>
        <v>1.2116695907139803</v>
      </c>
      <c r="W160" s="304">
        <f t="shared" ca="1" si="62"/>
        <v>56.022295068498295</v>
      </c>
      <c r="Y160" s="314" t="str">
        <f t="shared" ca="1" si="80"/>
        <v/>
      </c>
      <c r="Z160" s="315" t="str">
        <f t="shared" ca="1" si="81"/>
        <v/>
      </c>
      <c r="AA160" s="316" t="str">
        <f t="shared" ca="1" si="82"/>
        <v/>
      </c>
      <c r="AC160" s="310" t="e">
        <f t="shared" ca="1" si="83"/>
        <v>#N/A</v>
      </c>
      <c r="AD160" s="323" t="e">
        <f t="shared" ca="1" si="84"/>
        <v>#N/A</v>
      </c>
      <c r="AE160" s="324">
        <f t="shared" ca="1" si="63"/>
        <v>109.41499279854293</v>
      </c>
      <c r="AG160" s="306">
        <f t="shared" ca="1" si="85"/>
        <v>71.879165616019932</v>
      </c>
      <c r="AH160" s="304">
        <f t="shared" ca="1" si="86"/>
        <v>81.636749637542053</v>
      </c>
    </row>
    <row r="161" spans="1:34" x14ac:dyDescent="0.2">
      <c r="A161" s="347">
        <f t="shared" ca="1" si="64"/>
        <v>0.01</v>
      </c>
      <c r="B161" s="304">
        <f t="shared" ca="1" si="65"/>
        <v>1.5700000000000012</v>
      </c>
      <c r="D161" s="306">
        <f t="shared" ca="1" si="66"/>
        <v>8.4087192458490119</v>
      </c>
      <c r="E161" s="307">
        <f t="shared" ca="1" si="67"/>
        <v>71.147294193676927</v>
      </c>
      <c r="F161" s="304">
        <f t="shared" ca="1" si="68"/>
        <v>71.642473648228574</v>
      </c>
      <c r="G161" s="306">
        <f t="shared" ca="1" si="69"/>
        <v>14.095243479514426</v>
      </c>
      <c r="H161" s="307">
        <f t="shared" ca="1" si="70"/>
        <v>135.60779524271112</v>
      </c>
      <c r="I161" s="304">
        <f t="shared" ca="1" si="71"/>
        <v>136.33836591119851</v>
      </c>
      <c r="J161" s="306">
        <f t="shared" ca="1" si="72"/>
        <v>10.934751413149543</v>
      </c>
      <c r="K161" s="307">
        <f t="shared" ca="1" si="73"/>
        <v>110.76751338626035</v>
      </c>
      <c r="L161" s="304">
        <f t="shared" ca="1" si="58"/>
        <v>111.30593340088721</v>
      </c>
      <c r="M161" s="306">
        <f t="shared" ca="1" si="74"/>
        <v>1.4672269904620521</v>
      </c>
      <c r="N161" s="304">
        <f t="shared" ca="1" si="75"/>
        <v>84.06591414115708</v>
      </c>
      <c r="P161" s="310">
        <f t="shared" ca="1" si="76"/>
        <v>5</v>
      </c>
      <c r="Q161" s="304">
        <f t="shared" ca="1" si="77"/>
        <v>649.50999999999976</v>
      </c>
      <c r="R161" s="306">
        <f t="shared" ca="1" si="78"/>
        <v>0.32595880721153131</v>
      </c>
      <c r="S161" s="307">
        <f t="shared" ca="1" si="79"/>
        <v>7.2916475240603003</v>
      </c>
      <c r="T161" s="304">
        <f t="shared" ca="1" si="59"/>
        <v>71.531062211031553</v>
      </c>
      <c r="U161" s="311">
        <f t="shared" ca="1" si="60"/>
        <v>0</v>
      </c>
      <c r="V161" s="306">
        <f t="shared" ca="1" si="61"/>
        <v>1.2115057160242293</v>
      </c>
      <c r="W161" s="304">
        <f t="shared" ca="1" si="62"/>
        <v>56.60801878979138</v>
      </c>
      <c r="Y161" s="314" t="str">
        <f t="shared" ca="1" si="80"/>
        <v/>
      </c>
      <c r="Z161" s="315" t="str">
        <f t="shared" ca="1" si="81"/>
        <v/>
      </c>
      <c r="AA161" s="316" t="str">
        <f t="shared" ca="1" si="82"/>
        <v/>
      </c>
      <c r="AC161" s="310" t="e">
        <f t="shared" ca="1" si="83"/>
        <v>#N/A</v>
      </c>
      <c r="AD161" s="323" t="e">
        <f t="shared" ca="1" si="84"/>
        <v>#N/A</v>
      </c>
      <c r="AE161" s="324">
        <f t="shared" ca="1" si="63"/>
        <v>110.76751338626035</v>
      </c>
      <c r="AG161" s="306">
        <f t="shared" ca="1" si="85"/>
        <v>71.635304843326338</v>
      </c>
      <c r="AH161" s="304">
        <f t="shared" ca="1" si="86"/>
        <v>81.392813211714625</v>
      </c>
    </row>
    <row r="162" spans="1:34" x14ac:dyDescent="0.2">
      <c r="A162" s="347">
        <f t="shared" ca="1" si="64"/>
        <v>0.01</v>
      </c>
      <c r="B162" s="304">
        <f t="shared" ca="1" si="65"/>
        <v>1.5800000000000012</v>
      </c>
      <c r="D162" s="306">
        <f t="shared" ca="1" si="66"/>
        <v>8.3894739251878292</v>
      </c>
      <c r="E162" s="307">
        <f t="shared" ca="1" si="67"/>
        <v>70.903615475631938</v>
      </c>
      <c r="F162" s="304">
        <f t="shared" ca="1" si="68"/>
        <v>71.398220988044784</v>
      </c>
      <c r="G162" s="306">
        <f t="shared" ca="1" si="69"/>
        <v>14.179138218766305</v>
      </c>
      <c r="H162" s="307">
        <f t="shared" ca="1" si="70"/>
        <v>136.31683139746744</v>
      </c>
      <c r="I162" s="304">
        <f t="shared" ca="1" si="71"/>
        <v>137.05227646001521</v>
      </c>
      <c r="J162" s="306">
        <f t="shared" ca="1" si="72"/>
        <v>11.076123321640948</v>
      </c>
      <c r="K162" s="307">
        <f t="shared" ca="1" si="73"/>
        <v>112.12713651946125</v>
      </c>
      <c r="L162" s="304">
        <f t="shared" ca="1" si="58"/>
        <v>112.67286830417559</v>
      </c>
      <c r="M162" s="306">
        <f t="shared" ca="1" si="74"/>
        <v>1.4671529895194086</v>
      </c>
      <c r="N162" s="304">
        <f t="shared" ca="1" si="75"/>
        <v>84.061674199463624</v>
      </c>
      <c r="P162" s="310">
        <f t="shared" ca="1" si="76"/>
        <v>5</v>
      </c>
      <c r="Q162" s="304">
        <f t="shared" ca="1" si="77"/>
        <v>648.04999999999984</v>
      </c>
      <c r="R162" s="306">
        <f t="shared" ca="1" si="78"/>
        <v>0.32522610123544349</v>
      </c>
      <c r="S162" s="307">
        <f t="shared" ca="1" si="79"/>
        <v>7.2883952630479456</v>
      </c>
      <c r="T162" s="304">
        <f t="shared" ca="1" si="59"/>
        <v>71.499157530500355</v>
      </c>
      <c r="U162" s="311">
        <f t="shared" ca="1" si="60"/>
        <v>0</v>
      </c>
      <c r="V162" s="306">
        <f t="shared" ca="1" si="61"/>
        <v>1.2113410029875029</v>
      </c>
      <c r="W162" s="304">
        <f t="shared" ca="1" si="62"/>
        <v>57.194628608209726</v>
      </c>
      <c r="Y162" s="314" t="str">
        <f t="shared" ca="1" si="80"/>
        <v/>
      </c>
      <c r="Z162" s="315" t="str">
        <f t="shared" ca="1" si="81"/>
        <v/>
      </c>
      <c r="AA162" s="316" t="str">
        <f t="shared" ca="1" si="82"/>
        <v/>
      </c>
      <c r="AC162" s="310" t="e">
        <f t="shared" ca="1" si="83"/>
        <v>#N/A</v>
      </c>
      <c r="AD162" s="323" t="e">
        <f t="shared" ca="1" si="84"/>
        <v>#N/A</v>
      </c>
      <c r="AE162" s="324">
        <f t="shared" ca="1" si="63"/>
        <v>112.12713651946125</v>
      </c>
      <c r="AG162" s="306">
        <f t="shared" ca="1" si="85"/>
        <v>71.391017355801424</v>
      </c>
      <c r="AH162" s="304">
        <f t="shared" ca="1" si="86"/>
        <v>81.148450360370887</v>
      </c>
    </row>
    <row r="163" spans="1:34" x14ac:dyDescent="0.2">
      <c r="A163" s="347">
        <f t="shared" ca="1" si="64"/>
        <v>0.01</v>
      </c>
      <c r="B163" s="304">
        <f t="shared" ca="1" si="65"/>
        <v>1.5900000000000012</v>
      </c>
      <c r="D163" s="306">
        <f t="shared" ca="1" si="66"/>
        <v>8.3701219485988503</v>
      </c>
      <c r="E163" s="307">
        <f t="shared" ca="1" si="67"/>
        <v>70.659523947039006</v>
      </c>
      <c r="F163" s="304">
        <f t="shared" ca="1" si="68"/>
        <v>71.1535471066383</v>
      </c>
      <c r="G163" s="306">
        <f t="shared" ca="1" si="69"/>
        <v>14.262839438252293</v>
      </c>
      <c r="H163" s="307">
        <f t="shared" ca="1" si="70"/>
        <v>137.02342663693784</v>
      </c>
      <c r="I163" s="304">
        <f t="shared" ca="1" si="71"/>
        <v>137.76373991791039</v>
      </c>
      <c r="J163" s="306">
        <f t="shared" ca="1" si="72"/>
        <v>11.21833320992604</v>
      </c>
      <c r="K163" s="307">
        <f t="shared" ca="1" si="73"/>
        <v>113.49383780963328</v>
      </c>
      <c r="L163" s="304">
        <f t="shared" ca="1" si="58"/>
        <v>114.04692990505389</v>
      </c>
      <c r="M163" s="306">
        <f t="shared" ca="1" si="74"/>
        <v>1.4670793183326358</v>
      </c>
      <c r="N163" s="304">
        <f t="shared" ca="1" si="75"/>
        <v>84.057453151389822</v>
      </c>
      <c r="P163" s="310">
        <f t="shared" ca="1" si="76"/>
        <v>5</v>
      </c>
      <c r="Q163" s="304">
        <f t="shared" ca="1" si="77"/>
        <v>646.5899999999998</v>
      </c>
      <c r="R163" s="306">
        <f t="shared" ca="1" si="78"/>
        <v>0.32449339525935555</v>
      </c>
      <c r="S163" s="307">
        <f t="shared" ca="1" si="79"/>
        <v>7.2851503290953517</v>
      </c>
      <c r="T163" s="304">
        <f t="shared" ca="1" si="59"/>
        <v>71.46732472842541</v>
      </c>
      <c r="U163" s="311">
        <f t="shared" ca="1" si="60"/>
        <v>0</v>
      </c>
      <c r="V163" s="306">
        <f t="shared" ca="1" si="61"/>
        <v>1.2111754549022755</v>
      </c>
      <c r="W163" s="304">
        <f t="shared" ca="1" si="62"/>
        <v>57.782087610535562</v>
      </c>
      <c r="Y163" s="314" t="str">
        <f t="shared" ca="1" si="80"/>
        <v/>
      </c>
      <c r="Z163" s="315" t="str">
        <f t="shared" ca="1" si="81"/>
        <v/>
      </c>
      <c r="AA163" s="316" t="str">
        <f t="shared" ca="1" si="82"/>
        <v/>
      </c>
      <c r="AC163" s="310" t="e">
        <f t="shared" ca="1" si="83"/>
        <v>#N/A</v>
      </c>
      <c r="AD163" s="323" t="e">
        <f t="shared" ca="1" si="84"/>
        <v>#N/A</v>
      </c>
      <c r="AE163" s="324">
        <f t="shared" ca="1" si="63"/>
        <v>113.49383780963328</v>
      </c>
      <c r="AG163" s="306">
        <f t="shared" ca="1" si="85"/>
        <v>71.146308404265795</v>
      </c>
      <c r="AH163" s="304">
        <f t="shared" ca="1" si="86"/>
        <v>80.903666330380233</v>
      </c>
    </row>
    <row r="164" spans="1:34" x14ac:dyDescent="0.2">
      <c r="A164" s="347">
        <f t="shared" ca="1" si="64"/>
        <v>0.01</v>
      </c>
      <c r="B164" s="304">
        <f t="shared" ca="1" si="65"/>
        <v>1.6000000000000012</v>
      </c>
      <c r="D164" s="306">
        <f t="shared" ca="1" si="66"/>
        <v>8.3506643751853336</v>
      </c>
      <c r="E164" s="307">
        <f t="shared" ca="1" si="67"/>
        <v>70.415024781118007</v>
      </c>
      <c r="F164" s="304">
        <f t="shared" ca="1" si="68"/>
        <v>70.908457256045651</v>
      </c>
      <c r="G164" s="306">
        <f t="shared" ca="1" si="69"/>
        <v>14.346346082004146</v>
      </c>
      <c r="H164" s="307">
        <f t="shared" ca="1" si="70"/>
        <v>137.72757688474903</v>
      </c>
      <c r="I164" s="304">
        <f t="shared" ca="1" si="71"/>
        <v>138.4727521227519</v>
      </c>
      <c r="J164" s="306">
        <f t="shared" ca="1" si="72"/>
        <v>11.361379137527322</v>
      </c>
      <c r="K164" s="307">
        <f t="shared" ca="1" si="73"/>
        <v>114.86759282724171</v>
      </c>
      <c r="L164" s="304">
        <f t="shared" ca="1" si="58"/>
        <v>115.42809371133022</v>
      </c>
      <c r="M164" s="306">
        <f t="shared" ca="1" si="74"/>
        <v>1.4670059724476725</v>
      </c>
      <c r="N164" s="304">
        <f t="shared" ca="1" si="75"/>
        <v>84.053250741736761</v>
      </c>
      <c r="P164" s="310">
        <f t="shared" ca="1" si="76"/>
        <v>5</v>
      </c>
      <c r="Q164" s="304">
        <f t="shared" ca="1" si="77"/>
        <v>645.12999999999977</v>
      </c>
      <c r="R164" s="306">
        <f t="shared" ca="1" si="78"/>
        <v>0.32376068928326768</v>
      </c>
      <c r="S164" s="307">
        <f t="shared" ca="1" si="79"/>
        <v>7.2819127222025193</v>
      </c>
      <c r="T164" s="304">
        <f t="shared" ca="1" si="59"/>
        <v>71.435563804806719</v>
      </c>
      <c r="U164" s="311">
        <f t="shared" ca="1" si="60"/>
        <v>0</v>
      </c>
      <c r="V164" s="306">
        <f t="shared" ca="1" si="61"/>
        <v>1.2110090750720579</v>
      </c>
      <c r="W164" s="304">
        <f t="shared" ca="1" si="62"/>
        <v>58.37035898570435</v>
      </c>
      <c r="Y164" s="314" t="str">
        <f t="shared" ca="1" si="80"/>
        <v/>
      </c>
      <c r="Z164" s="315" t="str">
        <f t="shared" ca="1" si="81"/>
        <v/>
      </c>
      <c r="AA164" s="316" t="str">
        <f t="shared" ca="1" si="82"/>
        <v/>
      </c>
      <c r="AC164" s="310" t="e">
        <f t="shared" ca="1" si="83"/>
        <v>#N/A</v>
      </c>
      <c r="AD164" s="323" t="e">
        <f t="shared" ca="1" si="84"/>
        <v>#N/A</v>
      </c>
      <c r="AE164" s="324">
        <f t="shared" ca="1" si="63"/>
        <v>114.86759282724171</v>
      </c>
      <c r="AG164" s="306">
        <f t="shared" ca="1" si="85"/>
        <v>70.9011832376207</v>
      </c>
      <c r="AH164" s="304">
        <f t="shared" ca="1" si="86"/>
        <v>80.658466366761445</v>
      </c>
    </row>
    <row r="165" spans="1:34" x14ac:dyDescent="0.2">
      <c r="A165" s="347">
        <f t="shared" ca="1" si="64"/>
        <v>0.01</v>
      </c>
      <c r="B165" s="304">
        <f t="shared" ca="1" si="65"/>
        <v>1.6100000000000012</v>
      </c>
      <c r="D165" s="306">
        <f t="shared" ca="1" si="66"/>
        <v>8.3311022551861242</v>
      </c>
      <c r="E165" s="307">
        <f t="shared" ca="1" si="67"/>
        <v>70.170123149626519</v>
      </c>
      <c r="F165" s="304">
        <f t="shared" ca="1" si="68"/>
        <v>70.662956686089203</v>
      </c>
      <c r="G165" s="306">
        <f t="shared" ca="1" si="69"/>
        <v>14.429657104556007</v>
      </c>
      <c r="H165" s="307">
        <f t="shared" ca="1" si="70"/>
        <v>138.42927811624529</v>
      </c>
      <c r="I165" s="304">
        <f t="shared" ca="1" si="71"/>
        <v>139.17930896487397</v>
      </c>
      <c r="J165" s="306">
        <f t="shared" ca="1" si="72"/>
        <v>11.505259153460123</v>
      </c>
      <c r="K165" s="307">
        <f t="shared" ca="1" si="73"/>
        <v>116.24837710224668</v>
      </c>
      <c r="L165" s="304">
        <f t="shared" ca="1" si="58"/>
        <v>116.81633518945212</v>
      </c>
      <c r="M165" s="306">
        <f t="shared" ca="1" si="74"/>
        <v>1.4669329474904311</v>
      </c>
      <c r="N165" s="304">
        <f t="shared" ca="1" si="75"/>
        <v>84.049066719887705</v>
      </c>
      <c r="P165" s="310">
        <f t="shared" ca="1" si="76"/>
        <v>5</v>
      </c>
      <c r="Q165" s="304">
        <f t="shared" ca="1" si="77"/>
        <v>643.66999999999985</v>
      </c>
      <c r="R165" s="306">
        <f t="shared" ca="1" si="78"/>
        <v>0.32302798330717986</v>
      </c>
      <c r="S165" s="307">
        <f t="shared" ca="1" si="79"/>
        <v>7.2786824423694476</v>
      </c>
      <c r="T165" s="304">
        <f t="shared" ca="1" si="59"/>
        <v>71.403874759644282</v>
      </c>
      <c r="U165" s="311">
        <f t="shared" ca="1" si="60"/>
        <v>0</v>
      </c>
      <c r="V165" s="306">
        <f t="shared" ca="1" si="61"/>
        <v>1.2108418668053091</v>
      </c>
      <c r="W165" s="304">
        <f t="shared" ca="1" si="62"/>
        <v>58.959406026767397</v>
      </c>
      <c r="Y165" s="314" t="str">
        <f t="shared" ca="1" si="80"/>
        <v/>
      </c>
      <c r="Z165" s="315" t="str">
        <f t="shared" ca="1" si="81"/>
        <v/>
      </c>
      <c r="AA165" s="316" t="str">
        <f t="shared" ca="1" si="82"/>
        <v/>
      </c>
      <c r="AC165" s="310" t="e">
        <f t="shared" ca="1" si="83"/>
        <v>#N/A</v>
      </c>
      <c r="AD165" s="323" t="e">
        <f t="shared" ca="1" si="84"/>
        <v>#N/A</v>
      </c>
      <c r="AE165" s="324">
        <f t="shared" ca="1" si="63"/>
        <v>116.24837710224668</v>
      </c>
      <c r="AG165" s="306">
        <f t="shared" ca="1" si="85"/>
        <v>70.655647102520533</v>
      </c>
      <c r="AH165" s="304">
        <f t="shared" ca="1" si="86"/>
        <v>80.412855712353547</v>
      </c>
    </row>
    <row r="166" spans="1:34" x14ac:dyDescent="0.2">
      <c r="A166" s="347">
        <f t="shared" ca="1" si="64"/>
        <v>0.01</v>
      </c>
      <c r="B166" s="304">
        <f t="shared" ca="1" si="65"/>
        <v>1.6200000000000012</v>
      </c>
      <c r="D166" s="306">
        <f t="shared" ca="1" si="66"/>
        <v>8.3114366301670906</v>
      </c>
      <c r="E166" s="307">
        <f t="shared" ca="1" si="67"/>
        <v>69.924824222515696</v>
      </c>
      <c r="F166" s="304">
        <f t="shared" ca="1" si="68"/>
        <v>70.417050644052125</v>
      </c>
      <c r="G166" s="306">
        <f t="shared" ca="1" si="69"/>
        <v>14.512771470857679</v>
      </c>
      <c r="H166" s="307">
        <f t="shared" ca="1" si="70"/>
        <v>139.12852635847045</v>
      </c>
      <c r="I166" s="304">
        <f t="shared" ca="1" si="71"/>
        <v>139.88340638705131</v>
      </c>
      <c r="J166" s="306">
        <f t="shared" ca="1" si="72"/>
        <v>11.649971296337192</v>
      </c>
      <c r="K166" s="307">
        <f t="shared" ca="1" si="73"/>
        <v>117.63616612462026</v>
      </c>
      <c r="L166" s="304">
        <f t="shared" ca="1" si="58"/>
        <v>118.21162976503089</v>
      </c>
      <c r="M166" s="306">
        <f t="shared" ca="1" si="74"/>
        <v>1.4668602391648409</v>
      </c>
      <c r="N166" s="304">
        <f t="shared" ca="1" si="75"/>
        <v>84.044900839695927</v>
      </c>
      <c r="P166" s="310">
        <f t="shared" ca="1" si="76"/>
        <v>5</v>
      </c>
      <c r="Q166" s="304">
        <f t="shared" ca="1" si="77"/>
        <v>642.20999999999981</v>
      </c>
      <c r="R166" s="306">
        <f t="shared" ca="1" si="78"/>
        <v>0.32229527733109198</v>
      </c>
      <c r="S166" s="307">
        <f t="shared" ca="1" si="79"/>
        <v>7.2754594895961366</v>
      </c>
      <c r="T166" s="304">
        <f t="shared" ca="1" si="59"/>
        <v>71.372257592938098</v>
      </c>
      <c r="U166" s="311">
        <f t="shared" ca="1" si="60"/>
        <v>0</v>
      </c>
      <c r="V166" s="306">
        <f t="shared" ca="1" si="61"/>
        <v>1.2106738334153484</v>
      </c>
      <c r="W166" s="304">
        <f t="shared" ca="1" si="62"/>
        <v>59.549192132835614</v>
      </c>
      <c r="Y166" s="314" t="str">
        <f t="shared" ca="1" si="80"/>
        <v/>
      </c>
      <c r="Z166" s="315" t="str">
        <f t="shared" ca="1" si="81"/>
        <v/>
      </c>
      <c r="AA166" s="316" t="str">
        <f t="shared" ca="1" si="82"/>
        <v/>
      </c>
      <c r="AC166" s="310" t="e">
        <f t="shared" ca="1" si="83"/>
        <v>#N/A</v>
      </c>
      <c r="AD166" s="323" t="e">
        <f t="shared" ca="1" si="84"/>
        <v>#N/A</v>
      </c>
      <c r="AE166" s="324">
        <f t="shared" ca="1" si="63"/>
        <v>117.63616612462026</v>
      </c>
      <c r="AG166" s="306">
        <f t="shared" ca="1" si="85"/>
        <v>70.409705243047014</v>
      </c>
      <c r="AH166" s="304">
        <f t="shared" ca="1" si="86"/>
        <v>80.166839607488328</v>
      </c>
    </row>
    <row r="167" spans="1:34" x14ac:dyDescent="0.2">
      <c r="A167" s="347">
        <f t="shared" ca="1" si="64"/>
        <v>0.01</v>
      </c>
      <c r="B167" s="304">
        <f t="shared" ca="1" si="65"/>
        <v>1.6300000000000012</v>
      </c>
      <c r="D167" s="306">
        <f t="shared" ca="1" si="66"/>
        <v>8.291668533205554</v>
      </c>
      <c r="E167" s="307">
        <f t="shared" ca="1" si="67"/>
        <v>69.679133167588716</v>
      </c>
      <c r="F167" s="304">
        <f t="shared" ca="1" si="68"/>
        <v>70.17074437435528</v>
      </c>
      <c r="G167" s="306">
        <f t="shared" ca="1" si="69"/>
        <v>14.595688156189734</v>
      </c>
      <c r="H167" s="307">
        <f t="shared" ca="1" si="70"/>
        <v>139.82531769014633</v>
      </c>
      <c r="I167" s="304">
        <f t="shared" ca="1" si="71"/>
        <v>140.58504038447009</v>
      </c>
      <c r="J167" s="306">
        <f t="shared" ca="1" si="72"/>
        <v>11.795513594472428</v>
      </c>
      <c r="K167" s="307">
        <f t="shared" ca="1" si="73"/>
        <v>119.03093534486334</v>
      </c>
      <c r="L167" s="304">
        <f t="shared" ca="1" si="58"/>
        <v>119.61395282336596</v>
      </c>
      <c r="M167" s="306">
        <f t="shared" ca="1" si="74"/>
        <v>1.4667878432509478</v>
      </c>
      <c r="N167" s="304">
        <f t="shared" ca="1" si="75"/>
        <v>84.040752859375857</v>
      </c>
      <c r="P167" s="310">
        <f t="shared" ca="1" si="76"/>
        <v>5</v>
      </c>
      <c r="Q167" s="304">
        <f t="shared" ca="1" si="77"/>
        <v>640.74999999999977</v>
      </c>
      <c r="R167" s="306">
        <f t="shared" ca="1" si="78"/>
        <v>0.32156257135500405</v>
      </c>
      <c r="S167" s="307">
        <f t="shared" ca="1" si="79"/>
        <v>7.2722438638825864</v>
      </c>
      <c r="T167" s="304">
        <f t="shared" ca="1" si="59"/>
        <v>71.340712304688182</v>
      </c>
      <c r="U167" s="311">
        <f t="shared" ca="1" si="60"/>
        <v>0</v>
      </c>
      <c r="V167" s="306">
        <f t="shared" ca="1" si="61"/>
        <v>1.2105049782202684</v>
      </c>
      <c r="W167" s="304">
        <f t="shared" ca="1" si="62"/>
        <v>60.139680811004929</v>
      </c>
      <c r="Y167" s="314" t="str">
        <f t="shared" ca="1" si="80"/>
        <v/>
      </c>
      <c r="Z167" s="315" t="str">
        <f t="shared" ca="1" si="81"/>
        <v/>
      </c>
      <c r="AA167" s="316" t="str">
        <f t="shared" ca="1" si="82"/>
        <v/>
      </c>
      <c r="AC167" s="310" t="e">
        <f t="shared" ca="1" si="83"/>
        <v>#N/A</v>
      </c>
      <c r="AD167" s="323" t="e">
        <f t="shared" ca="1" si="84"/>
        <v>#N/A</v>
      </c>
      <c r="AE167" s="324">
        <f t="shared" ca="1" si="63"/>
        <v>119.03093534486334</v>
      </c>
      <c r="AG167" s="306">
        <f t="shared" ca="1" si="85"/>
        <v>70.16336290038528</v>
      </c>
      <c r="AH167" s="304">
        <f t="shared" ca="1" si="86"/>
        <v>79.920423289664853</v>
      </c>
    </row>
    <row r="168" spans="1:34" x14ac:dyDescent="0.2">
      <c r="A168" s="347">
        <f t="shared" ca="1" si="64"/>
        <v>0.01</v>
      </c>
      <c r="B168" s="304">
        <f t="shared" ca="1" si="65"/>
        <v>1.6400000000000012</v>
      </c>
      <c r="D168" s="306">
        <f t="shared" ca="1" si="66"/>
        <v>8.2717989890682357</v>
      </c>
      <c r="E168" s="307">
        <f t="shared" ca="1" si="67"/>
        <v>69.43305515016111</v>
      </c>
      <c r="F168" s="304">
        <f t="shared" ca="1" si="68"/>
        <v>69.924043118235545</v>
      </c>
      <c r="G168" s="306">
        <f t="shared" ca="1" si="69"/>
        <v>14.678406146080416</v>
      </c>
      <c r="H168" s="307">
        <f t="shared" ca="1" si="70"/>
        <v>140.51964824164796</v>
      </c>
      <c r="I168" s="304">
        <f t="shared" ca="1" si="71"/>
        <v>141.28420700469593</v>
      </c>
      <c r="J168" s="306">
        <f t="shared" ca="1" si="72"/>
        <v>11.941884065983778</v>
      </c>
      <c r="K168" s="307">
        <f t="shared" ca="1" si="73"/>
        <v>120.43266017452231</v>
      </c>
      <c r="L168" s="304">
        <f t="shared" ca="1" si="58"/>
        <v>121.0232797099689</v>
      </c>
      <c r="M168" s="306">
        <f t="shared" ca="1" si="74"/>
        <v>1.4667157556030745</v>
      </c>
      <c r="N168" s="304">
        <f t="shared" ca="1" si="75"/>
        <v>84.036622541397691</v>
      </c>
      <c r="P168" s="310">
        <f t="shared" ca="1" si="76"/>
        <v>5</v>
      </c>
      <c r="Q168" s="304">
        <f t="shared" ca="1" si="77"/>
        <v>639.28999999999985</v>
      </c>
      <c r="R168" s="306">
        <f t="shared" ca="1" si="78"/>
        <v>0.32082986537891622</v>
      </c>
      <c r="S168" s="307">
        <f t="shared" ca="1" si="79"/>
        <v>7.2690355652287968</v>
      </c>
      <c r="T168" s="304">
        <f t="shared" ca="1" si="59"/>
        <v>71.309238894894506</v>
      </c>
      <c r="U168" s="311">
        <f t="shared" ca="1" si="60"/>
        <v>0</v>
      </c>
      <c r="V168" s="306">
        <f t="shared" ca="1" si="61"/>
        <v>1.2103353045428489</v>
      </c>
      <c r="W168" s="304">
        <f t="shared" ca="1" si="62"/>
        <v>60.730835678263084</v>
      </c>
      <c r="Y168" s="314" t="str">
        <f t="shared" ca="1" si="80"/>
        <v/>
      </c>
      <c r="Z168" s="315" t="str">
        <f t="shared" ca="1" si="81"/>
        <v/>
      </c>
      <c r="AA168" s="316" t="str">
        <f t="shared" ca="1" si="82"/>
        <v/>
      </c>
      <c r="AC168" s="310" t="e">
        <f t="shared" ca="1" si="83"/>
        <v>#N/A</v>
      </c>
      <c r="AD168" s="323" t="e">
        <f t="shared" ca="1" si="84"/>
        <v>#N/A</v>
      </c>
      <c r="AE168" s="324">
        <f t="shared" ca="1" si="63"/>
        <v>120.43266017452231</v>
      </c>
      <c r="AG168" s="306">
        <f t="shared" ca="1" si="85"/>
        <v>69.916625312501267</v>
      </c>
      <c r="AH168" s="304">
        <f t="shared" ca="1" si="86"/>
        <v>79.673611993225379</v>
      </c>
    </row>
    <row r="169" spans="1:34" x14ac:dyDescent="0.2">
      <c r="A169" s="347">
        <f t="shared" ca="1" si="64"/>
        <v>0.01</v>
      </c>
      <c r="B169" s="304">
        <f t="shared" ca="1" si="65"/>
        <v>1.6500000000000012</v>
      </c>
      <c r="D169" s="306">
        <f t="shared" ca="1" si="66"/>
        <v>8.2518290143826736</v>
      </c>
      <c r="E169" s="307">
        <f t="shared" ca="1" si="67"/>
        <v>69.186595332723613</v>
      </c>
      <c r="F169" s="304">
        <f t="shared" ca="1" si="68"/>
        <v>69.676952113426012</v>
      </c>
      <c r="G169" s="306">
        <f t="shared" ca="1" si="69"/>
        <v>14.760924436224244</v>
      </c>
      <c r="H169" s="307">
        <f t="shared" ca="1" si="70"/>
        <v>141.21151419497519</v>
      </c>
      <c r="I169" s="304">
        <f t="shared" ca="1" si="71"/>
        <v>141.98090234763831</v>
      </c>
      <c r="J169" s="306">
        <f t="shared" ca="1" si="72"/>
        <v>12.089080718895302</v>
      </c>
      <c r="K169" s="307">
        <f t="shared" ca="1" si="73"/>
        <v>121.84131598670542</v>
      </c>
      <c r="L169" s="304">
        <f t="shared" ca="1" si="58"/>
        <v>122.43958573108685</v>
      </c>
      <c r="M169" s="306">
        <f t="shared" ca="1" si="74"/>
        <v>1.466643972148034</v>
      </c>
      <c r="N169" s="304">
        <f t="shared" ca="1" si="75"/>
        <v>84.032509652385002</v>
      </c>
      <c r="P169" s="310">
        <f t="shared" ca="1" si="76"/>
        <v>5</v>
      </c>
      <c r="Q169" s="304">
        <f t="shared" ca="1" si="77"/>
        <v>637.82999999999981</v>
      </c>
      <c r="R169" s="306">
        <f t="shared" ca="1" si="78"/>
        <v>0.32009715940282835</v>
      </c>
      <c r="S169" s="307">
        <f t="shared" ca="1" si="79"/>
        <v>7.2658345936347688</v>
      </c>
      <c r="T169" s="304">
        <f t="shared" ca="1" si="59"/>
        <v>71.277837363557083</v>
      </c>
      <c r="U169" s="311">
        <f t="shared" ca="1" si="60"/>
        <v>0</v>
      </c>
      <c r="V169" s="306">
        <f t="shared" ca="1" si="61"/>
        <v>1.2101648157104659</v>
      </c>
      <c r="W169" s="304">
        <f t="shared" ca="1" si="62"/>
        <v>61.322620463377113</v>
      </c>
      <c r="Y169" s="314" t="str">
        <f t="shared" ca="1" si="80"/>
        <v/>
      </c>
      <c r="Z169" s="315" t="str">
        <f t="shared" ca="1" si="81"/>
        <v/>
      </c>
      <c r="AA169" s="316" t="str">
        <f t="shared" ca="1" si="82"/>
        <v/>
      </c>
      <c r="AC169" s="310" t="e">
        <f t="shared" ca="1" si="83"/>
        <v>#N/A</v>
      </c>
      <c r="AD169" s="323" t="e">
        <f t="shared" ca="1" si="84"/>
        <v>#N/A</v>
      </c>
      <c r="AE169" s="324">
        <f t="shared" ca="1" si="63"/>
        <v>121.84131598670542</v>
      </c>
      <c r="AG169" s="306">
        <f t="shared" ca="1" si="85"/>
        <v>69.669497713821059</v>
      </c>
      <c r="AH169" s="304">
        <f t="shared" ca="1" si="86"/>
        <v>79.426410949033183</v>
      </c>
    </row>
    <row r="170" spans="1:34" x14ac:dyDescent="0.2">
      <c r="A170" s="347">
        <f t="shared" ca="1" si="64"/>
        <v>0.01</v>
      </c>
      <c r="B170" s="304">
        <f t="shared" ca="1" si="65"/>
        <v>1.6600000000000013</v>
      </c>
      <c r="D170" s="306">
        <f t="shared" ca="1" si="66"/>
        <v>8.2317596178026236</v>
      </c>
      <c r="E170" s="307">
        <f t="shared" ca="1" si="67"/>
        <v>68.939758874607307</v>
      </c>
      <c r="F170" s="304">
        <f t="shared" ca="1" si="68"/>
        <v>69.42947659383789</v>
      </c>
      <c r="G170" s="306">
        <f t="shared" ca="1" si="69"/>
        <v>14.843242032402269</v>
      </c>
      <c r="H170" s="307">
        <f t="shared" ca="1" si="70"/>
        <v>141.90091178372126</v>
      </c>
      <c r="I170" s="304">
        <f t="shared" ca="1" si="71"/>
        <v>142.67512256551214</v>
      </c>
      <c r="J170" s="306">
        <f t="shared" ca="1" si="72"/>
        <v>12.237101551238434</v>
      </c>
      <c r="K170" s="307">
        <f t="shared" ca="1" si="73"/>
        <v>123.25687811659891</v>
      </c>
      <c r="L170" s="304">
        <f t="shared" ca="1" si="58"/>
        <v>123.86284615422593</v>
      </c>
      <c r="M170" s="306">
        <f t="shared" ca="1" si="74"/>
        <v>1.4665724888833978</v>
      </c>
      <c r="N170" s="304">
        <f t="shared" ca="1" si="75"/>
        <v>84.028413963015538</v>
      </c>
      <c r="P170" s="310">
        <f t="shared" ca="1" si="76"/>
        <v>5</v>
      </c>
      <c r="Q170" s="304">
        <f t="shared" ca="1" si="77"/>
        <v>636.36999999999978</v>
      </c>
      <c r="R170" s="306">
        <f t="shared" ca="1" si="78"/>
        <v>0.31936445342674041</v>
      </c>
      <c r="S170" s="307">
        <f t="shared" ca="1" si="79"/>
        <v>7.2626409491005015</v>
      </c>
      <c r="T170" s="304">
        <f t="shared" ca="1" si="59"/>
        <v>71.246507710675928</v>
      </c>
      <c r="U170" s="311">
        <f t="shared" ca="1" si="60"/>
        <v>0</v>
      </c>
      <c r="V170" s="306">
        <f t="shared" ca="1" si="61"/>
        <v>1.2099935150550081</v>
      </c>
      <c r="W170" s="304">
        <f t="shared" ca="1" si="62"/>
        <v>61.914999008762607</v>
      </c>
      <c r="Y170" s="314" t="str">
        <f t="shared" ca="1" si="80"/>
        <v/>
      </c>
      <c r="Z170" s="315" t="str">
        <f t="shared" ca="1" si="81"/>
        <v/>
      </c>
      <c r="AA170" s="316" t="str">
        <f t="shared" ca="1" si="82"/>
        <v/>
      </c>
      <c r="AC170" s="310" t="e">
        <f t="shared" ca="1" si="83"/>
        <v>#N/A</v>
      </c>
      <c r="AD170" s="323" t="e">
        <f t="shared" ca="1" si="84"/>
        <v>#N/A</v>
      </c>
      <c r="AE170" s="324">
        <f t="shared" ca="1" si="63"/>
        <v>123.25687811659891</v>
      </c>
      <c r="AG170" s="306">
        <f t="shared" ca="1" si="85"/>
        <v>69.421985334912037</v>
      </c>
      <c r="AH170" s="304">
        <f t="shared" ca="1" si="86"/>
        <v>79.17882538415229</v>
      </c>
    </row>
    <row r="171" spans="1:34" x14ac:dyDescent="0.2">
      <c r="A171" s="347">
        <f t="shared" ca="1" si="64"/>
        <v>0.01</v>
      </c>
      <c r="B171" s="304">
        <f t="shared" ca="1" si="65"/>
        <v>1.6700000000000013</v>
      </c>
      <c r="D171" s="306">
        <f t="shared" ca="1" si="66"/>
        <v>8.2115918001673798</v>
      </c>
      <c r="E171" s="307">
        <f t="shared" ca="1" si="67"/>
        <v>68.692550931650928</v>
      </c>
      <c r="F171" s="304">
        <f t="shared" ca="1" si="68"/>
        <v>69.181621789244232</v>
      </c>
      <c r="G171" s="306">
        <f t="shared" ca="1" si="69"/>
        <v>14.925357950403944</v>
      </c>
      <c r="H171" s="307">
        <f t="shared" ca="1" si="70"/>
        <v>142.58783729303775</v>
      </c>
      <c r="I171" s="304">
        <f t="shared" ca="1" si="71"/>
        <v>143.36686386279604</v>
      </c>
      <c r="J171" s="306">
        <f t="shared" ca="1" si="72"/>
        <v>12.385944551152464</v>
      </c>
      <c r="K171" s="307">
        <f t="shared" ca="1" si="73"/>
        <v>124.67932186198271</v>
      </c>
      <c r="L171" s="304">
        <f t="shared" ca="1" si="58"/>
        <v>125.29303620867404</v>
      </c>
      <c r="M171" s="306">
        <f t="shared" ca="1" si="74"/>
        <v>1.466501301875814</v>
      </c>
      <c r="N171" s="304">
        <f t="shared" ca="1" si="75"/>
        <v>84.02433524792481</v>
      </c>
      <c r="P171" s="310">
        <f t="shared" ca="1" si="76"/>
        <v>5</v>
      </c>
      <c r="Q171" s="304">
        <f t="shared" ca="1" si="77"/>
        <v>634.90999999999985</v>
      </c>
      <c r="R171" s="306">
        <f t="shared" ca="1" si="78"/>
        <v>0.31863174745065259</v>
      </c>
      <c r="S171" s="307">
        <f t="shared" ca="1" si="79"/>
        <v>7.2594546316259949</v>
      </c>
      <c r="T171" s="304">
        <f t="shared" ca="1" si="59"/>
        <v>71.215249936251013</v>
      </c>
      <c r="U171" s="311">
        <f t="shared" ca="1" si="60"/>
        <v>0</v>
      </c>
      <c r="V171" s="306">
        <f t="shared" ca="1" si="61"/>
        <v>1.2098214059127879</v>
      </c>
      <c r="W171" s="304">
        <f t="shared" ca="1" si="62"/>
        <v>62.50793527233332</v>
      </c>
      <c r="Y171" s="314" t="str">
        <f t="shared" ca="1" si="80"/>
        <v/>
      </c>
      <c r="Z171" s="315" t="str">
        <f t="shared" ca="1" si="81"/>
        <v/>
      </c>
      <c r="AA171" s="316" t="str">
        <f t="shared" ca="1" si="82"/>
        <v/>
      </c>
      <c r="AC171" s="310" t="e">
        <f t="shared" ca="1" si="83"/>
        <v>#N/A</v>
      </c>
      <c r="AD171" s="323" t="e">
        <f t="shared" ca="1" si="84"/>
        <v>#N/A</v>
      </c>
      <c r="AE171" s="324">
        <f t="shared" ca="1" si="63"/>
        <v>124.67932186198271</v>
      </c>
      <c r="AG171" s="306">
        <f t="shared" ca="1" si="85"/>
        <v>69.174093402165525</v>
      </c>
      <c r="AH171" s="304">
        <f t="shared" ca="1" si="86"/>
        <v>78.930860521528743</v>
      </c>
    </row>
    <row r="172" spans="1:34" x14ac:dyDescent="0.2">
      <c r="A172" s="347">
        <f t="shared" ca="1" si="64"/>
        <v>0.01</v>
      </c>
      <c r="B172" s="304">
        <f t="shared" ca="1" si="65"/>
        <v>1.6800000000000013</v>
      </c>
      <c r="D172" s="306">
        <f t="shared" ca="1" si="66"/>
        <v>8.191326554655614</v>
      </c>
      <c r="E172" s="307">
        <f t="shared" ca="1" si="67"/>
        <v>68.44497665587059</v>
      </c>
      <c r="F172" s="304">
        <f t="shared" ca="1" si="68"/>
        <v>68.933392924965446</v>
      </c>
      <c r="G172" s="306">
        <f t="shared" ca="1" si="69"/>
        <v>15.0072712159505</v>
      </c>
      <c r="H172" s="307">
        <f t="shared" ca="1" si="70"/>
        <v>143.27228705959647</v>
      </c>
      <c r="I172" s="304">
        <f t="shared" ca="1" si="71"/>
        <v>144.05612249618727</v>
      </c>
      <c r="J172" s="306">
        <f t="shared" ca="1" si="72"/>
        <v>12.535607696984236</v>
      </c>
      <c r="K172" s="307">
        <f t="shared" ca="1" si="73"/>
        <v>126.10862248374589</v>
      </c>
      <c r="L172" s="304">
        <f t="shared" ca="1" si="58"/>
        <v>126.73013108602322</v>
      </c>
      <c r="M172" s="306">
        <f t="shared" ca="1" si="74"/>
        <v>1.4664304072593779</v>
      </c>
      <c r="N172" s="304">
        <f t="shared" ca="1" si="75"/>
        <v>84.020273285612831</v>
      </c>
      <c r="P172" s="310">
        <f t="shared" ca="1" si="76"/>
        <v>5</v>
      </c>
      <c r="Q172" s="304">
        <f t="shared" ca="1" si="77"/>
        <v>633.44999999999982</v>
      </c>
      <c r="R172" s="306">
        <f t="shared" ca="1" si="78"/>
        <v>0.31789904147456471</v>
      </c>
      <c r="S172" s="307">
        <f t="shared" ca="1" si="79"/>
        <v>7.256275641211249</v>
      </c>
      <c r="T172" s="304">
        <f t="shared" ca="1" si="59"/>
        <v>71.184064040282351</v>
      </c>
      <c r="U172" s="311">
        <f t="shared" ca="1" si="60"/>
        <v>0</v>
      </c>
      <c r="V172" s="306">
        <f t="shared" ca="1" si="61"/>
        <v>1.2096484916244556</v>
      </c>
      <c r="W172" s="304">
        <f t="shared" ca="1" si="62"/>
        <v>63.101393329331799</v>
      </c>
      <c r="Y172" s="314" t="str">
        <f t="shared" ca="1" si="80"/>
        <v/>
      </c>
      <c r="Z172" s="315" t="str">
        <f t="shared" ca="1" si="81"/>
        <v/>
      </c>
      <c r="AA172" s="316" t="str">
        <f t="shared" ca="1" si="82"/>
        <v/>
      </c>
      <c r="AC172" s="310" t="e">
        <f t="shared" ca="1" si="83"/>
        <v>#N/A</v>
      </c>
      <c r="AD172" s="323" t="e">
        <f t="shared" ca="1" si="84"/>
        <v>#N/A</v>
      </c>
      <c r="AE172" s="324">
        <f t="shared" ca="1" si="63"/>
        <v>126.10862248374589</v>
      </c>
      <c r="AG172" s="306">
        <f t="shared" ca="1" si="85"/>
        <v>68.925827137481519</v>
      </c>
      <c r="AH172" s="304">
        <f t="shared" ca="1" si="86"/>
        <v>78.682521579673946</v>
      </c>
    </row>
    <row r="173" spans="1:34" x14ac:dyDescent="0.2">
      <c r="A173" s="347">
        <f t="shared" ca="1" si="64"/>
        <v>0.01</v>
      </c>
      <c r="B173" s="304">
        <f t="shared" ca="1" si="65"/>
        <v>1.6900000000000013</v>
      </c>
      <c r="D173" s="306">
        <f t="shared" ca="1" si="66"/>
        <v>8.1709648669334456</v>
      </c>
      <c r="E173" s="307">
        <f t="shared" ca="1" si="67"/>
        <v>68.197041195131831</v>
      </c>
      <c r="F173" s="304">
        <f t="shared" ca="1" si="68"/>
        <v>68.684795221556627</v>
      </c>
      <c r="G173" s="306">
        <f t="shared" ca="1" si="69"/>
        <v>15.088980864619835</v>
      </c>
      <c r="H173" s="307">
        <f t="shared" ca="1" si="70"/>
        <v>143.95425747154778</v>
      </c>
      <c r="I173" s="304">
        <f t="shared" ca="1" si="71"/>
        <v>144.74289477455372</v>
      </c>
      <c r="J173" s="306">
        <f t="shared" ca="1" si="72"/>
        <v>12.686088957387089</v>
      </c>
      <c r="K173" s="307">
        <f t="shared" ca="1" si="73"/>
        <v>127.54475520640162</v>
      </c>
      <c r="L173" s="304">
        <f t="shared" ca="1" si="58"/>
        <v>128.17410594069167</v>
      </c>
      <c r="M173" s="306">
        <f t="shared" ca="1" si="74"/>
        <v>1.4663598012340462</v>
      </c>
      <c r="N173" s="304">
        <f t="shared" ca="1" si="75"/>
        <v>84.016227858353133</v>
      </c>
      <c r="P173" s="310">
        <f t="shared" ca="1" si="76"/>
        <v>5</v>
      </c>
      <c r="Q173" s="304">
        <f t="shared" ca="1" si="77"/>
        <v>631.98999999999978</v>
      </c>
      <c r="R173" s="306">
        <f t="shared" ca="1" si="78"/>
        <v>0.31716633549847684</v>
      </c>
      <c r="S173" s="307">
        <f t="shared" ca="1" si="79"/>
        <v>7.2531039778562638</v>
      </c>
      <c r="T173" s="304">
        <f t="shared" ca="1" si="59"/>
        <v>71.152950022769957</v>
      </c>
      <c r="U173" s="311">
        <f t="shared" ca="1" si="60"/>
        <v>0</v>
      </c>
      <c r="V173" s="306">
        <f t="shared" ca="1" si="61"/>
        <v>1.209474775534912</v>
      </c>
      <c r="W173" s="304">
        <f t="shared" ca="1" si="62"/>
        <v>63.695337374140621</v>
      </c>
      <c r="Y173" s="314" t="str">
        <f t="shared" ca="1" si="80"/>
        <v/>
      </c>
      <c r="Z173" s="315" t="str">
        <f t="shared" ca="1" si="81"/>
        <v/>
      </c>
      <c r="AA173" s="316" t="str">
        <f t="shared" ca="1" si="82"/>
        <v/>
      </c>
      <c r="AC173" s="310" t="e">
        <f t="shared" ca="1" si="83"/>
        <v>#N/A</v>
      </c>
      <c r="AD173" s="323" t="e">
        <f t="shared" ca="1" si="84"/>
        <v>#N/A</v>
      </c>
      <c r="AE173" s="324">
        <f t="shared" ca="1" si="63"/>
        <v>127.54475520640162</v>
      </c>
      <c r="AG173" s="306">
        <f t="shared" ca="1" si="85"/>
        <v>68.677191757955129</v>
      </c>
      <c r="AH173" s="304">
        <f t="shared" ca="1" si="86"/>
        <v>78.433813772349836</v>
      </c>
    </row>
    <row r="174" spans="1:34" x14ac:dyDescent="0.2">
      <c r="A174" s="347">
        <f t="shared" ca="1" si="64"/>
        <v>0.01</v>
      </c>
      <c r="B174" s="304">
        <f t="shared" ca="1" si="65"/>
        <v>1.7000000000000013</v>
      </c>
      <c r="D174" s="306">
        <f t="shared" ca="1" si="66"/>
        <v>8.150507715297584</v>
      </c>
      <c r="E174" s="307">
        <f t="shared" ca="1" si="67"/>
        <v>67.948749692823995</v>
      </c>
      <c r="F174" s="304">
        <f t="shared" ca="1" si="68"/>
        <v>68.435833894496923</v>
      </c>
      <c r="G174" s="306">
        <f t="shared" ca="1" si="69"/>
        <v>15.17048594177281</v>
      </c>
      <c r="H174" s="307">
        <f t="shared" ca="1" si="70"/>
        <v>144.63374496847601</v>
      </c>
      <c r="I174" s="304">
        <f t="shared" ca="1" si="71"/>
        <v>145.42717705888293</v>
      </c>
      <c r="J174" s="306">
        <f t="shared" ca="1" si="72"/>
        <v>12.837386291419051</v>
      </c>
      <c r="K174" s="307">
        <f t="shared" ca="1" si="73"/>
        <v>128.98769521860174</v>
      </c>
      <c r="L174" s="304">
        <f t="shared" ca="1" si="58"/>
        <v>129.62493589044513</v>
      </c>
      <c r="M174" s="306">
        <f t="shared" ca="1" si="74"/>
        <v>1.4662894800641018</v>
      </c>
      <c r="N174" s="304">
        <f t="shared" ca="1" si="75"/>
        <v>84.012198752104894</v>
      </c>
      <c r="P174" s="310">
        <f t="shared" ca="1" si="76"/>
        <v>5</v>
      </c>
      <c r="Q174" s="304">
        <f t="shared" ca="1" si="77"/>
        <v>630.52999999999975</v>
      </c>
      <c r="R174" s="306">
        <f t="shared" ca="1" si="78"/>
        <v>0.3164336295223889</v>
      </c>
      <c r="S174" s="307">
        <f t="shared" ca="1" si="79"/>
        <v>7.2499396415610402</v>
      </c>
      <c r="T174" s="304">
        <f t="shared" ca="1" si="59"/>
        <v>71.121907883713803</v>
      </c>
      <c r="U174" s="311">
        <f t="shared" ca="1" si="60"/>
        <v>0</v>
      </c>
      <c r="V174" s="306">
        <f t="shared" ca="1" si="61"/>
        <v>1.2093002609932222</v>
      </c>
      <c r="W174" s="304">
        <f t="shared" ca="1" si="62"/>
        <v>64.28973172207462</v>
      </c>
      <c r="Y174" s="314" t="str">
        <f t="shared" ca="1" si="80"/>
        <v/>
      </c>
      <c r="Z174" s="315" t="str">
        <f t="shared" ca="1" si="81"/>
        <v/>
      </c>
      <c r="AA174" s="316" t="str">
        <f t="shared" ca="1" si="82"/>
        <v/>
      </c>
      <c r="AC174" s="310" t="e">
        <f t="shared" ca="1" si="83"/>
        <v>#N/A</v>
      </c>
      <c r="AD174" s="323" t="e">
        <f t="shared" ca="1" si="84"/>
        <v>#N/A</v>
      </c>
      <c r="AE174" s="324">
        <f t="shared" ca="1" si="63"/>
        <v>128.98769521860174</v>
      </c>
      <c r="AG174" s="306">
        <f t="shared" ca="1" si="85"/>
        <v>68.428192475564899</v>
      </c>
      <c r="AH174" s="304">
        <f t="shared" ca="1" si="86"/>
        <v>78.184742308255906</v>
      </c>
    </row>
    <row r="175" spans="1:34" x14ac:dyDescent="0.2">
      <c r="A175" s="347">
        <f t="shared" ca="1" si="64"/>
        <v>0.01</v>
      </c>
      <c r="B175" s="304">
        <f t="shared" ca="1" si="65"/>
        <v>1.7100000000000013</v>
      </c>
      <c r="D175" s="306">
        <f t="shared" ca="1" si="66"/>
        <v>8.1299560708130105</v>
      </c>
      <c r="E175" s="307">
        <f t="shared" ca="1" si="67"/>
        <v>67.700107287536937</v>
      </c>
      <c r="F175" s="304">
        <f t="shared" ca="1" si="68"/>
        <v>68.186514153880623</v>
      </c>
      <c r="G175" s="306">
        <f t="shared" ca="1" si="69"/>
        <v>15.25178550248094</v>
      </c>
      <c r="H175" s="307">
        <f t="shared" ca="1" si="70"/>
        <v>145.31074604135136</v>
      </c>
      <c r="I175" s="304">
        <f t="shared" ca="1" si="71"/>
        <v>146.1089657622276</v>
      </c>
      <c r="J175" s="306">
        <f t="shared" ca="1" si="72"/>
        <v>12.98949764864032</v>
      </c>
      <c r="K175" s="307">
        <f t="shared" ca="1" si="73"/>
        <v>130.43741767365088</v>
      </c>
      <c r="L175" s="304">
        <f t="shared" ca="1" si="58"/>
        <v>131.08259601691785</v>
      </c>
      <c r="M175" s="306">
        <f t="shared" ca="1" si="74"/>
        <v>1.4662194400766599</v>
      </c>
      <c r="N175" s="304">
        <f t="shared" ca="1" si="75"/>
        <v>84.008185756427324</v>
      </c>
      <c r="P175" s="310">
        <f t="shared" ca="1" si="76"/>
        <v>5</v>
      </c>
      <c r="Q175" s="304">
        <f t="shared" ca="1" si="77"/>
        <v>629.06999999999982</v>
      </c>
      <c r="R175" s="306">
        <f t="shared" ca="1" si="78"/>
        <v>0.31570092354630108</v>
      </c>
      <c r="S175" s="307">
        <f t="shared" ca="1" si="79"/>
        <v>7.2467826323255773</v>
      </c>
      <c r="T175" s="304">
        <f t="shared" ca="1" si="59"/>
        <v>71.090937623113916</v>
      </c>
      <c r="U175" s="311">
        <f t="shared" ca="1" si="60"/>
        <v>0</v>
      </c>
      <c r="V175" s="306">
        <f t="shared" ca="1" si="61"/>
        <v>1.2091249513525291</v>
      </c>
      <c r="W175" s="304">
        <f t="shared" ca="1" si="62"/>
        <v>64.884540811152931</v>
      </c>
      <c r="Y175" s="314" t="str">
        <f t="shared" ca="1" si="80"/>
        <v/>
      </c>
      <c r="Z175" s="315" t="str">
        <f t="shared" ca="1" si="81"/>
        <v/>
      </c>
      <c r="AA175" s="316" t="str">
        <f t="shared" ca="1" si="82"/>
        <v/>
      </c>
      <c r="AC175" s="310" t="e">
        <f t="shared" ca="1" si="83"/>
        <v>#N/A</v>
      </c>
      <c r="AD175" s="323" t="e">
        <f t="shared" ca="1" si="84"/>
        <v>#N/A</v>
      </c>
      <c r="AE175" s="324">
        <f t="shared" ca="1" si="63"/>
        <v>130.43741767365088</v>
      </c>
      <c r="AG175" s="306">
        <f t="shared" ca="1" si="85"/>
        <v>68.178834496863075</v>
      </c>
      <c r="AH175" s="304">
        <f t="shared" ca="1" si="86"/>
        <v>77.935312390718224</v>
      </c>
    </row>
    <row r="176" spans="1:34" x14ac:dyDescent="0.2">
      <c r="A176" s="347">
        <f t="shared" ca="1" si="64"/>
        <v>0.01</v>
      </c>
      <c r="B176" s="304">
        <f t="shared" ca="1" si="65"/>
        <v>1.7200000000000013</v>
      </c>
      <c r="D176" s="306">
        <f t="shared" ca="1" si="66"/>
        <v>8.1093108974460257</v>
      </c>
      <c r="E176" s="307">
        <f t="shared" ca="1" si="67"/>
        <v>67.451119112740088</v>
      </c>
      <c r="F176" s="304">
        <f t="shared" ca="1" si="68"/>
        <v>67.936841204110223</v>
      </c>
      <c r="G176" s="306">
        <f t="shared" ca="1" si="69"/>
        <v>15.332878611455401</v>
      </c>
      <c r="H176" s="307">
        <f t="shared" ca="1" si="70"/>
        <v>145.98525723247877</v>
      </c>
      <c r="I176" s="304">
        <f t="shared" ca="1" si="71"/>
        <v>146.78825734964846</v>
      </c>
      <c r="J176" s="306">
        <f t="shared" ca="1" si="72"/>
        <v>13.142420969210002</v>
      </c>
      <c r="K176" s="307">
        <f t="shared" ca="1" si="73"/>
        <v>131.89389769002003</v>
      </c>
      <c r="L176" s="304">
        <f t="shared" ca="1" si="58"/>
        <v>132.54706136613291</v>
      </c>
      <c r="M176" s="306">
        <f t="shared" ca="1" si="74"/>
        <v>1.4661496776602192</v>
      </c>
      <c r="N176" s="304">
        <f t="shared" ca="1" si="75"/>
        <v>84.004188664396636</v>
      </c>
      <c r="P176" s="310">
        <f t="shared" ca="1" si="76"/>
        <v>5</v>
      </c>
      <c r="Q176" s="304">
        <f t="shared" ca="1" si="77"/>
        <v>627.60999999999979</v>
      </c>
      <c r="R176" s="306">
        <f t="shared" ca="1" si="78"/>
        <v>0.3149682175702132</v>
      </c>
      <c r="S176" s="307">
        <f t="shared" ca="1" si="79"/>
        <v>7.2436329501498751</v>
      </c>
      <c r="T176" s="304">
        <f t="shared" ca="1" si="59"/>
        <v>71.060039240970283</v>
      </c>
      <c r="U176" s="311">
        <f t="shared" ca="1" si="60"/>
        <v>0</v>
      </c>
      <c r="V176" s="306">
        <f t="shared" ca="1" si="61"/>
        <v>1.2089488499699661</v>
      </c>
      <c r="W176" s="304">
        <f t="shared" ca="1" si="62"/>
        <v>65.479729203852145</v>
      </c>
      <c r="Y176" s="314" t="str">
        <f t="shared" ca="1" si="80"/>
        <v/>
      </c>
      <c r="Z176" s="315" t="str">
        <f t="shared" ca="1" si="81"/>
        <v/>
      </c>
      <c r="AA176" s="316" t="str">
        <f t="shared" ca="1" si="82"/>
        <v/>
      </c>
      <c r="AC176" s="310" t="e">
        <f t="shared" ca="1" si="83"/>
        <v>#N/A</v>
      </c>
      <c r="AD176" s="323" t="e">
        <f t="shared" ca="1" si="84"/>
        <v>#N/A</v>
      </c>
      <c r="AE176" s="324">
        <f t="shared" ca="1" si="63"/>
        <v>131.89389769002003</v>
      </c>
      <c r="AG176" s="306">
        <f t="shared" ca="1" si="85"/>
        <v>67.929123022667653</v>
      </c>
      <c r="AH176" s="304">
        <f t="shared" ca="1" si="86"/>
        <v>77.685529217380306</v>
      </c>
    </row>
    <row r="177" spans="1:34" x14ac:dyDescent="0.2">
      <c r="A177" s="347">
        <f t="shared" ca="1" si="64"/>
        <v>0.01</v>
      </c>
      <c r="B177" s="304">
        <f t="shared" ca="1" si="65"/>
        <v>1.7300000000000013</v>
      </c>
      <c r="D177" s="306">
        <f t="shared" ca="1" si="66"/>
        <v>8.0885731521924669</v>
      </c>
      <c r="E177" s="307">
        <f t="shared" ca="1" si="67"/>
        <v>67.201790296463912</v>
      </c>
      <c r="F177" s="304">
        <f t="shared" ca="1" si="68"/>
        <v>67.686820243591583</v>
      </c>
      <c r="G177" s="306">
        <f t="shared" ca="1" si="69"/>
        <v>15.413764342977325</v>
      </c>
      <c r="H177" s="307">
        <f t="shared" ca="1" si="70"/>
        <v>146.6572751354434</v>
      </c>
      <c r="I177" s="304">
        <f t="shared" ca="1" si="71"/>
        <v>147.46504833815362</v>
      </c>
      <c r="J177" s="306">
        <f t="shared" ca="1" si="72"/>
        <v>13.296154183982166</v>
      </c>
      <c r="K177" s="307">
        <f t="shared" ca="1" si="73"/>
        <v>133.35711035185963</v>
      </c>
      <c r="L177" s="304">
        <f t="shared" ca="1" si="58"/>
        <v>134.01830694902205</v>
      </c>
      <c r="M177" s="306">
        <f t="shared" ca="1" si="74"/>
        <v>1.4660801892632527</v>
      </c>
      <c r="N177" s="304">
        <f t="shared" ca="1" si="75"/>
        <v>84.00020727252533</v>
      </c>
      <c r="P177" s="310">
        <f t="shared" ca="1" si="76"/>
        <v>5</v>
      </c>
      <c r="Q177" s="304">
        <f t="shared" ca="1" si="77"/>
        <v>626.14999999999975</v>
      </c>
      <c r="R177" s="306">
        <f t="shared" ca="1" si="78"/>
        <v>0.31423551159412527</v>
      </c>
      <c r="S177" s="307">
        <f t="shared" ca="1" si="79"/>
        <v>7.2404905950339336</v>
      </c>
      <c r="T177" s="304">
        <f t="shared" ca="1" si="59"/>
        <v>71.02921273728289</v>
      </c>
      <c r="U177" s="311">
        <f t="shared" ca="1" si="60"/>
        <v>0</v>
      </c>
      <c r="V177" s="306">
        <f t="shared" ca="1" si="61"/>
        <v>1.2087719602065736</v>
      </c>
      <c r="W177" s="304">
        <f t="shared" ca="1" si="62"/>
        <v>66.075261588839197</v>
      </c>
      <c r="Y177" s="314" t="str">
        <f t="shared" ca="1" si="80"/>
        <v/>
      </c>
      <c r="Z177" s="315" t="str">
        <f t="shared" ca="1" si="81"/>
        <v/>
      </c>
      <c r="AA177" s="316" t="str">
        <f t="shared" ca="1" si="82"/>
        <v/>
      </c>
      <c r="AC177" s="310" t="e">
        <f t="shared" ca="1" si="83"/>
        <v>#N/A</v>
      </c>
      <c r="AD177" s="323" t="e">
        <f t="shared" ca="1" si="84"/>
        <v>#N/A</v>
      </c>
      <c r="AE177" s="324">
        <f t="shared" ca="1" si="63"/>
        <v>133.35711035185963</v>
      </c>
      <c r="AG177" s="306">
        <f t="shared" ca="1" si="85"/>
        <v>67.679063247756574</v>
      </c>
      <c r="AH177" s="304">
        <f t="shared" ca="1" si="86"/>
        <v>77.435397979896138</v>
      </c>
    </row>
    <row r="178" spans="1:34" x14ac:dyDescent="0.2">
      <c r="A178" s="347">
        <f t="shared" ca="1" si="64"/>
        <v>0.01</v>
      </c>
      <c r="B178" s="304">
        <f t="shared" ca="1" si="65"/>
        <v>1.7400000000000013</v>
      </c>
      <c r="D178" s="306">
        <f t="shared" ca="1" si="66"/>
        <v>8.0677437852014027</v>
      </c>
      <c r="E178" s="307">
        <f t="shared" ca="1" si="67"/>
        <v>66.95212596098375</v>
      </c>
      <c r="F178" s="304">
        <f t="shared" ca="1" si="68"/>
        <v>67.436456464430947</v>
      </c>
      <c r="G178" s="306">
        <f t="shared" ca="1" si="69"/>
        <v>15.494441780829339</v>
      </c>
      <c r="H178" s="307">
        <f t="shared" ca="1" si="70"/>
        <v>147.32679639505324</v>
      </c>
      <c r="I178" s="304">
        <f t="shared" ca="1" si="71"/>
        <v>148.13933529663544</v>
      </c>
      <c r="J178" s="306">
        <f t="shared" ca="1" si="72"/>
        <v>13.450695214601199</v>
      </c>
      <c r="K178" s="307">
        <f t="shared" ca="1" si="73"/>
        <v>134.82703070951212</v>
      </c>
      <c r="L178" s="304">
        <f t="shared" ca="1" si="58"/>
        <v>135.49630774194483</v>
      </c>
      <c r="M178" s="306">
        <f t="shared" ca="1" si="74"/>
        <v>1.4660109713928413</v>
      </c>
      <c r="N178" s="304">
        <f t="shared" ca="1" si="75"/>
        <v>83.99624138068387</v>
      </c>
      <c r="P178" s="310">
        <f t="shared" ca="1" si="76"/>
        <v>5</v>
      </c>
      <c r="Q178" s="304">
        <f t="shared" ca="1" si="77"/>
        <v>624.68999999999983</v>
      </c>
      <c r="R178" s="306">
        <f t="shared" ca="1" si="78"/>
        <v>0.31350280561803745</v>
      </c>
      <c r="S178" s="307">
        <f t="shared" ca="1" si="79"/>
        <v>7.2373555669777536</v>
      </c>
      <c r="T178" s="304">
        <f t="shared" ca="1" si="59"/>
        <v>70.998458112051765</v>
      </c>
      <c r="U178" s="311">
        <f t="shared" ca="1" si="60"/>
        <v>0</v>
      </c>
      <c r="V178" s="306">
        <f t="shared" ca="1" si="61"/>
        <v>1.2085942854272107</v>
      </c>
      <c r="W178" s="304">
        <f t="shared" ca="1" si="62"/>
        <v>66.671102782684926</v>
      </c>
      <c r="Y178" s="314" t="str">
        <f t="shared" ca="1" si="80"/>
        <v/>
      </c>
      <c r="Z178" s="315" t="str">
        <f t="shared" ca="1" si="81"/>
        <v/>
      </c>
      <c r="AA178" s="316" t="str">
        <f t="shared" ca="1" si="82"/>
        <v/>
      </c>
      <c r="AC178" s="310" t="e">
        <f t="shared" ca="1" si="83"/>
        <v>#N/A</v>
      </c>
      <c r="AD178" s="323" t="e">
        <f t="shared" ca="1" si="84"/>
        <v>#N/A</v>
      </c>
      <c r="AE178" s="324">
        <f t="shared" ca="1" si="63"/>
        <v>134.82703070951212</v>
      </c>
      <c r="AG178" s="306">
        <f t="shared" ca="1" si="85"/>
        <v>67.428660360563711</v>
      </c>
      <c r="AH178" s="304">
        <f t="shared" ca="1" si="86"/>
        <v>77.184923863625016</v>
      </c>
    </row>
    <row r="179" spans="1:34" x14ac:dyDescent="0.2">
      <c r="A179" s="347">
        <f t="shared" ca="1" si="64"/>
        <v>0.01</v>
      </c>
      <c r="B179" s="304">
        <f t="shared" ca="1" si="65"/>
        <v>1.7500000000000013</v>
      </c>
      <c r="D179" s="306">
        <f t="shared" ca="1" si="66"/>
        <v>8.0468237398943447</v>
      </c>
      <c r="E179" s="307">
        <f t="shared" ca="1" si="67"/>
        <v>66.702131222506054</v>
      </c>
      <c r="F179" s="304">
        <f t="shared" ca="1" si="68"/>
        <v>67.185755052133956</v>
      </c>
      <c r="G179" s="306">
        <f t="shared" ca="1" si="69"/>
        <v>15.574910018228282</v>
      </c>
      <c r="H179" s="307">
        <f t="shared" ca="1" si="70"/>
        <v>147.99381770727831</v>
      </c>
      <c r="I179" s="304">
        <f t="shared" ca="1" si="71"/>
        <v>148.81111484580387</v>
      </c>
      <c r="J179" s="306">
        <f t="shared" ca="1" si="72"/>
        <v>13.606041973596486</v>
      </c>
      <c r="K179" s="307">
        <f t="shared" ca="1" si="73"/>
        <v>136.30363378002377</v>
      </c>
      <c r="L179" s="304">
        <f t="shared" ca="1" si="58"/>
        <v>136.98103868720702</v>
      </c>
      <c r="M179" s="306">
        <f t="shared" ca="1" si="74"/>
        <v>1.4659420206133433</v>
      </c>
      <c r="N179" s="304">
        <f t="shared" ca="1" si="75"/>
        <v>83.992290792024505</v>
      </c>
      <c r="P179" s="310">
        <f t="shared" ca="1" si="76"/>
        <v>5</v>
      </c>
      <c r="Q179" s="304">
        <f t="shared" ca="1" si="77"/>
        <v>623.22999999999979</v>
      </c>
      <c r="R179" s="306">
        <f t="shared" ca="1" si="78"/>
        <v>0.31277009964194957</v>
      </c>
      <c r="S179" s="307">
        <f t="shared" ca="1" si="79"/>
        <v>7.2342278659813344</v>
      </c>
      <c r="T179" s="304">
        <f t="shared" ca="1" si="59"/>
        <v>70.967775365276893</v>
      </c>
      <c r="U179" s="311">
        <f t="shared" ca="1" si="60"/>
        <v>0</v>
      </c>
      <c r="V179" s="306">
        <f t="shared" ca="1" si="61"/>
        <v>1.2084158290004707</v>
      </c>
      <c r="W179" s="304">
        <f t="shared" ca="1" si="62"/>
        <v>67.267217731557494</v>
      </c>
      <c r="Y179" s="314" t="str">
        <f t="shared" ca="1" si="80"/>
        <v/>
      </c>
      <c r="Z179" s="315" t="str">
        <f t="shared" ca="1" si="81"/>
        <v/>
      </c>
      <c r="AA179" s="316" t="str">
        <f t="shared" ca="1" si="82"/>
        <v/>
      </c>
      <c r="AC179" s="310" t="e">
        <f t="shared" ca="1" si="83"/>
        <v>#N/A</v>
      </c>
      <c r="AD179" s="323" t="e">
        <f t="shared" ca="1" si="84"/>
        <v>#N/A</v>
      </c>
      <c r="AE179" s="324">
        <f t="shared" ca="1" si="63"/>
        <v>136.30363378002377</v>
      </c>
      <c r="AG179" s="306">
        <f t="shared" ca="1" si="85"/>
        <v>67.177919542877049</v>
      </c>
      <c r="AH179" s="304">
        <f t="shared" ca="1" si="86"/>
        <v>76.934112047328611</v>
      </c>
    </row>
    <row r="180" spans="1:34" x14ac:dyDescent="0.2">
      <c r="A180" s="347">
        <f t="shared" ca="1" si="64"/>
        <v>0.01</v>
      </c>
      <c r="B180" s="304">
        <f t="shared" ca="1" si="65"/>
        <v>1.7600000000000013</v>
      </c>
      <c r="D180" s="306">
        <f t="shared" ca="1" si="66"/>
        <v>8.0258139530804034</v>
      </c>
      <c r="E180" s="307">
        <f t="shared" ca="1" si="67"/>
        <v>66.451811190857001</v>
      </c>
      <c r="F180" s="304">
        <f t="shared" ca="1" si="68"/>
        <v>66.934721185306856</v>
      </c>
      <c r="G180" s="306">
        <f t="shared" ca="1" si="69"/>
        <v>15.655168157759086</v>
      </c>
      <c r="H180" s="307">
        <f t="shared" ca="1" si="70"/>
        <v>148.65833581918687</v>
      </c>
      <c r="I180" s="304">
        <f t="shared" ca="1" si="71"/>
        <v>149.48038365811701</v>
      </c>
      <c r="J180" s="306">
        <f t="shared" ca="1" si="72"/>
        <v>13.762192364476423</v>
      </c>
      <c r="K180" s="307">
        <f t="shared" ca="1" si="73"/>
        <v>137.78689454765609</v>
      </c>
      <c r="L180" s="304">
        <f t="shared" ca="1" si="58"/>
        <v>138.47247469357853</v>
      </c>
      <c r="M180" s="306">
        <f t="shared" ca="1" si="74"/>
        <v>1.4658733335451029</v>
      </c>
      <c r="N180" s="304">
        <f t="shared" ca="1" si="75"/>
        <v>83.988355312907188</v>
      </c>
      <c r="P180" s="310">
        <f t="shared" ca="1" si="76"/>
        <v>5</v>
      </c>
      <c r="Q180" s="304">
        <f t="shared" ca="1" si="77"/>
        <v>621.76999999999975</v>
      </c>
      <c r="R180" s="306">
        <f t="shared" ca="1" si="78"/>
        <v>0.3120373936658617</v>
      </c>
      <c r="S180" s="307">
        <f t="shared" ca="1" si="79"/>
        <v>7.2311074920446758</v>
      </c>
      <c r="T180" s="304">
        <f t="shared" ca="1" si="59"/>
        <v>70.937164496958275</v>
      </c>
      <c r="U180" s="311">
        <f t="shared" ca="1" si="60"/>
        <v>0</v>
      </c>
      <c r="V180" s="306">
        <f t="shared" ca="1" si="61"/>
        <v>1.2082365942985944</v>
      </c>
      <c r="W180" s="304">
        <f t="shared" ca="1" si="62"/>
        <v>67.863571512895803</v>
      </c>
      <c r="Y180" s="314" t="str">
        <f t="shared" ca="1" si="80"/>
        <v/>
      </c>
      <c r="Z180" s="315" t="str">
        <f t="shared" ca="1" si="81"/>
        <v/>
      </c>
      <c r="AA180" s="316" t="str">
        <f t="shared" ca="1" si="82"/>
        <v/>
      </c>
      <c r="AC180" s="310" t="e">
        <f t="shared" ca="1" si="83"/>
        <v>#N/A</v>
      </c>
      <c r="AD180" s="323" t="e">
        <f t="shared" ca="1" si="84"/>
        <v>#N/A</v>
      </c>
      <c r="AE180" s="324">
        <f t="shared" ca="1" si="63"/>
        <v>137.78689454765609</v>
      </c>
      <c r="AG180" s="306">
        <f t="shared" ca="1" si="85"/>
        <v>66.926845969538618</v>
      </c>
      <c r="AH180" s="304">
        <f t="shared" ca="1" si="86"/>
        <v>76.682967702869874</v>
      </c>
    </row>
    <row r="181" spans="1:34" x14ac:dyDescent="0.2">
      <c r="A181" s="347">
        <f t="shared" ca="1" si="64"/>
        <v>0.01</v>
      </c>
      <c r="B181" s="304">
        <f t="shared" ca="1" si="65"/>
        <v>1.7700000000000014</v>
      </c>
      <c r="D181" s="306">
        <f t="shared" ca="1" si="66"/>
        <v>8.0047153550672601</v>
      </c>
      <c r="E181" s="307">
        <f t="shared" ca="1" si="67"/>
        <v>66.201170969173702</v>
      </c>
      <c r="F181" s="304">
        <f t="shared" ca="1" si="68"/>
        <v>66.683360035359769</v>
      </c>
      <c r="G181" s="306">
        <f t="shared" ca="1" si="69"/>
        <v>15.735215311309759</v>
      </c>
      <c r="H181" s="307">
        <f t="shared" ca="1" si="70"/>
        <v>149.32034752887861</v>
      </c>
      <c r="I181" s="304">
        <f t="shared" ca="1" si="71"/>
        <v>150.14713845770876</v>
      </c>
      <c r="J181" s="306">
        <f t="shared" ca="1" si="72"/>
        <v>13.919144281821767</v>
      </c>
      <c r="K181" s="307">
        <f t="shared" ca="1" si="73"/>
        <v>139.27678796439642</v>
      </c>
      <c r="L181" s="304">
        <f t="shared" ca="1" si="58"/>
        <v>139.97059063681061</v>
      </c>
      <c r="M181" s="306">
        <f t="shared" ca="1" si="74"/>
        <v>1.4658049068631949</v>
      </c>
      <c r="N181" s="304">
        <f t="shared" ca="1" si="75"/>
        <v>83.984434752827781</v>
      </c>
      <c r="P181" s="310">
        <f t="shared" ca="1" si="76"/>
        <v>5</v>
      </c>
      <c r="Q181" s="304">
        <f t="shared" ca="1" si="77"/>
        <v>620.30999999999983</v>
      </c>
      <c r="R181" s="306">
        <f t="shared" ca="1" si="78"/>
        <v>0.31130468768977382</v>
      </c>
      <c r="S181" s="307">
        <f t="shared" ca="1" si="79"/>
        <v>7.227994445167778</v>
      </c>
      <c r="T181" s="304">
        <f t="shared" ca="1" si="59"/>
        <v>70.90662550709591</v>
      </c>
      <c r="U181" s="311">
        <f t="shared" ca="1" si="60"/>
        <v>0</v>
      </c>
      <c r="V181" s="306">
        <f t="shared" ca="1" si="61"/>
        <v>1.2080565846973861</v>
      </c>
      <c r="W181" s="304">
        <f t="shared" ca="1" si="62"/>
        <v>68.460129337063123</v>
      </c>
      <c r="Y181" s="314" t="str">
        <f t="shared" ca="1" si="80"/>
        <v/>
      </c>
      <c r="Z181" s="315" t="str">
        <f t="shared" ca="1" si="81"/>
        <v/>
      </c>
      <c r="AA181" s="316" t="str">
        <f t="shared" ca="1" si="82"/>
        <v/>
      </c>
      <c r="AC181" s="310" t="e">
        <f t="shared" ca="1" si="83"/>
        <v>#N/A</v>
      </c>
      <c r="AD181" s="323" t="e">
        <f t="shared" ca="1" si="84"/>
        <v>#N/A</v>
      </c>
      <c r="AE181" s="324">
        <f t="shared" ca="1" si="63"/>
        <v>139.27678796439642</v>
      </c>
      <c r="AG181" s="306">
        <f t="shared" ca="1" si="85"/>
        <v>66.675444808146892</v>
      </c>
      <c r="AH181" s="304">
        <f t="shared" ca="1" si="86"/>
        <v>76.431495994914329</v>
      </c>
    </row>
    <row r="182" spans="1:34" x14ac:dyDescent="0.2">
      <c r="A182" s="347">
        <f t="shared" ca="1" si="64"/>
        <v>0.01</v>
      </c>
      <c r="B182" s="304">
        <f t="shared" ca="1" si="65"/>
        <v>1.7800000000000014</v>
      </c>
      <c r="D182" s="306">
        <f t="shared" ca="1" si="66"/>
        <v>7.9835288697681559</v>
      </c>
      <c r="E182" s="307">
        <f t="shared" ca="1" si="67"/>
        <v>65.950215653597425</v>
      </c>
      <c r="F182" s="304">
        <f t="shared" ca="1" si="68"/>
        <v>66.43167676621168</v>
      </c>
      <c r="G182" s="306">
        <f t="shared" ca="1" si="69"/>
        <v>15.81505060000744</v>
      </c>
      <c r="H182" s="307">
        <f t="shared" ca="1" si="70"/>
        <v>149.97984968541459</v>
      </c>
      <c r="I182" s="304">
        <f t="shared" ca="1" si="71"/>
        <v>150.81137602031339</v>
      </c>
      <c r="J182" s="306">
        <f t="shared" ca="1" si="72"/>
        <v>14.076895611378353</v>
      </c>
      <c r="K182" s="307">
        <f t="shared" ca="1" si="73"/>
        <v>140.77328895046787</v>
      </c>
      <c r="L182" s="304">
        <f t="shared" ca="1" si="58"/>
        <v>141.47536136015191</v>
      </c>
      <c r="M182" s="306">
        <f t="shared" ca="1" si="74"/>
        <v>1.4657367372962038</v>
      </c>
      <c r="N182" s="304">
        <f t="shared" ca="1" si="75"/>
        <v>83.980528924347965</v>
      </c>
      <c r="P182" s="310">
        <f t="shared" ca="1" si="76"/>
        <v>5</v>
      </c>
      <c r="Q182" s="304">
        <f t="shared" ca="1" si="77"/>
        <v>618.8499999999998</v>
      </c>
      <c r="R182" s="306">
        <f t="shared" ca="1" si="78"/>
        <v>0.31057198171368594</v>
      </c>
      <c r="S182" s="307">
        <f t="shared" ca="1" si="79"/>
        <v>7.2248887253506409</v>
      </c>
      <c r="T182" s="304">
        <f t="shared" ca="1" si="59"/>
        <v>70.876158395689785</v>
      </c>
      <c r="U182" s="311">
        <f t="shared" ca="1" si="60"/>
        <v>0</v>
      </c>
      <c r="V182" s="306">
        <f t="shared" ca="1" si="61"/>
        <v>1.2078758035761288</v>
      </c>
      <c r="W182" s="304">
        <f t="shared" ca="1" si="62"/>
        <v>69.05685654898052</v>
      </c>
      <c r="Y182" s="314" t="str">
        <f t="shared" ca="1" si="80"/>
        <v/>
      </c>
      <c r="Z182" s="315" t="str">
        <f t="shared" ca="1" si="81"/>
        <v/>
      </c>
      <c r="AA182" s="316" t="str">
        <f t="shared" ca="1" si="82"/>
        <v/>
      </c>
      <c r="AC182" s="310" t="e">
        <f t="shared" ca="1" si="83"/>
        <v>#N/A</v>
      </c>
      <c r="AD182" s="323" t="e">
        <f t="shared" ca="1" si="84"/>
        <v>#N/A</v>
      </c>
      <c r="AE182" s="324">
        <f t="shared" ca="1" si="63"/>
        <v>140.77328895046787</v>
      </c>
      <c r="AG182" s="306">
        <f t="shared" ca="1" si="85"/>
        <v>66.423721218760761</v>
      </c>
      <c r="AH182" s="304">
        <f t="shared" ca="1" si="86"/>
        <v>76.179702080633078</v>
      </c>
    </row>
    <row r="183" spans="1:34" x14ac:dyDescent="0.2">
      <c r="A183" s="347">
        <f t="shared" ca="1" si="64"/>
        <v>0.01</v>
      </c>
      <c r="B183" s="304">
        <f t="shared" ca="1" si="65"/>
        <v>1.7900000000000014</v>
      </c>
      <c r="D183" s="306">
        <f t="shared" ca="1" si="66"/>
        <v>7.9622554148052336</v>
      </c>
      <c r="E183" s="307">
        <f t="shared" ca="1" si="67"/>
        <v>65.698950332969829</v>
      </c>
      <c r="F183" s="304">
        <f t="shared" ca="1" si="68"/>
        <v>66.179676533998204</v>
      </c>
      <c r="G183" s="306">
        <f t="shared" ca="1" si="69"/>
        <v>15.894673154155493</v>
      </c>
      <c r="H183" s="307">
        <f t="shared" ca="1" si="70"/>
        <v>150.63683918874429</v>
      </c>
      <c r="I183" s="304">
        <f t="shared" ca="1" si="71"/>
        <v>151.47309317318715</v>
      </c>
      <c r="J183" s="306">
        <f t="shared" ca="1" si="72"/>
        <v>14.235444230149167</v>
      </c>
      <c r="K183" s="307">
        <f t="shared" ca="1" si="73"/>
        <v>142.27637239483866</v>
      </c>
      <c r="L183" s="304">
        <f t="shared" ca="1" si="58"/>
        <v>142.98676167486448</v>
      </c>
      <c r="M183" s="306">
        <f t="shared" ca="1" si="74"/>
        <v>1.4656688216250369</v>
      </c>
      <c r="N183" s="304">
        <f t="shared" ca="1" si="75"/>
        <v>83.976637643027303</v>
      </c>
      <c r="P183" s="310">
        <f t="shared" ca="1" si="76"/>
        <v>5</v>
      </c>
      <c r="Q183" s="304">
        <f t="shared" ca="1" si="77"/>
        <v>617.38999999999976</v>
      </c>
      <c r="R183" s="306">
        <f t="shared" ca="1" si="78"/>
        <v>0.30983927573759806</v>
      </c>
      <c r="S183" s="307">
        <f t="shared" ca="1" si="79"/>
        <v>7.2217903325932653</v>
      </c>
      <c r="T183" s="304">
        <f t="shared" ca="1" si="59"/>
        <v>70.845763162739942</v>
      </c>
      <c r="U183" s="311">
        <f t="shared" ca="1" si="60"/>
        <v>0</v>
      </c>
      <c r="V183" s="306">
        <f t="shared" ca="1" si="61"/>
        <v>1.2076942543174973</v>
      </c>
      <c r="W183" s="304">
        <f t="shared" ca="1" si="62"/>
        <v>69.653718629739899</v>
      </c>
      <c r="Y183" s="314" t="str">
        <f t="shared" ca="1" si="80"/>
        <v/>
      </c>
      <c r="Z183" s="315" t="str">
        <f t="shared" ca="1" si="81"/>
        <v/>
      </c>
      <c r="AA183" s="316" t="str">
        <f t="shared" ca="1" si="82"/>
        <v/>
      </c>
      <c r="AC183" s="310" t="e">
        <f t="shared" ca="1" si="83"/>
        <v>#N/A</v>
      </c>
      <c r="AD183" s="323" t="e">
        <f t="shared" ca="1" si="84"/>
        <v>#N/A</v>
      </c>
      <c r="AE183" s="324">
        <f t="shared" ca="1" si="63"/>
        <v>142.27637239483866</v>
      </c>
      <c r="AG183" s="306">
        <f t="shared" ca="1" si="85"/>
        <v>66.171680353606035</v>
      </c>
      <c r="AH183" s="304">
        <f t="shared" ca="1" si="86"/>
        <v>75.927591109408311</v>
      </c>
    </row>
    <row r="184" spans="1:34" x14ac:dyDescent="0.2">
      <c r="A184" s="347">
        <f t="shared" ca="1" si="64"/>
        <v>0.01</v>
      </c>
      <c r="B184" s="304">
        <f t="shared" ca="1" si="65"/>
        <v>1.8000000000000014</v>
      </c>
      <c r="D184" s="306">
        <f t="shared" ca="1" si="66"/>
        <v>7.9408959016091298</v>
      </c>
      <c r="E184" s="307">
        <f t="shared" ca="1" si="67"/>
        <v>65.44738008853119</v>
      </c>
      <c r="F184" s="304">
        <f t="shared" ca="1" si="68"/>
        <v>65.927364486780917</v>
      </c>
      <c r="G184" s="306">
        <f t="shared" ca="1" si="69"/>
        <v>15.974082113171583</v>
      </c>
      <c r="H184" s="307">
        <f t="shared" ca="1" si="70"/>
        <v>151.2913129896296</v>
      </c>
      <c r="I184" s="304">
        <f t="shared" ca="1" si="71"/>
        <v>152.13228679502723</v>
      </c>
      <c r="J184" s="306">
        <f t="shared" ca="1" si="72"/>
        <v>14.394788006485802</v>
      </c>
      <c r="K184" s="307">
        <f t="shared" ca="1" si="73"/>
        <v>143.78601315573053</v>
      </c>
      <c r="L184" s="304">
        <f t="shared" ca="1" si="58"/>
        <v>144.50476636073836</v>
      </c>
      <c r="M184" s="306">
        <f t="shared" ca="1" si="74"/>
        <v>1.4656011566817697</v>
      </c>
      <c r="N184" s="304">
        <f t="shared" ca="1" si="75"/>
        <v>83.972760727357098</v>
      </c>
      <c r="P184" s="310">
        <f t="shared" ca="1" si="76"/>
        <v>5</v>
      </c>
      <c r="Q184" s="304">
        <f t="shared" ca="1" si="77"/>
        <v>615.92999999999984</v>
      </c>
      <c r="R184" s="306">
        <f t="shared" ca="1" si="78"/>
        <v>0.30910656976151019</v>
      </c>
      <c r="S184" s="307">
        <f t="shared" ca="1" si="79"/>
        <v>7.2186992668956504</v>
      </c>
      <c r="T184" s="304">
        <f t="shared" ca="1" si="59"/>
        <v>70.815439808246339</v>
      </c>
      <c r="U184" s="311">
        <f t="shared" ca="1" si="60"/>
        <v>0</v>
      </c>
      <c r="V184" s="306">
        <f t="shared" ca="1" si="61"/>
        <v>1.2075119403074739</v>
      </c>
      <c r="W184" s="304">
        <f t="shared" ca="1" si="62"/>
        <v>70.250681198197071</v>
      </c>
      <c r="Y184" s="314" t="str">
        <f t="shared" ca="1" si="80"/>
        <v/>
      </c>
      <c r="Z184" s="315" t="str">
        <f t="shared" ca="1" si="81"/>
        <v/>
      </c>
      <c r="AA184" s="316" t="str">
        <f t="shared" ca="1" si="82"/>
        <v/>
      </c>
      <c r="AC184" s="310" t="e">
        <f t="shared" ca="1" si="83"/>
        <v>#N/A</v>
      </c>
      <c r="AD184" s="323" t="e">
        <f t="shared" ca="1" si="84"/>
        <v>#N/A</v>
      </c>
      <c r="AE184" s="324">
        <f t="shared" ca="1" si="63"/>
        <v>143.78601315573053</v>
      </c>
      <c r="AG184" s="306">
        <f t="shared" ca="1" si="85"/>
        <v>65.919327356783867</v>
      </c>
      <c r="AH184" s="304">
        <f t="shared" ca="1" si="86"/>
        <v>75.675168222540762</v>
      </c>
    </row>
    <row r="185" spans="1:34" x14ac:dyDescent="0.2">
      <c r="A185" s="347">
        <f t="shared" ca="1" si="64"/>
        <v>0.01</v>
      </c>
      <c r="B185" s="304">
        <f t="shared" ca="1" si="65"/>
        <v>1.8100000000000014</v>
      </c>
      <c r="D185" s="306">
        <f t="shared" ca="1" si="66"/>
        <v>7.9194512355150692</v>
      </c>
      <c r="E185" s="307">
        <f t="shared" ca="1" si="67"/>
        <v>65.195509993621286</v>
      </c>
      <c r="F185" s="304">
        <f t="shared" ca="1" si="68"/>
        <v>65.674745764259143</v>
      </c>
      <c r="G185" s="306">
        <f t="shared" ca="1" si="69"/>
        <v>16.053276625526735</v>
      </c>
      <c r="H185" s="307">
        <f t="shared" ca="1" si="70"/>
        <v>151.94326808956581</v>
      </c>
      <c r="I185" s="304">
        <f t="shared" ca="1" si="71"/>
        <v>152.78895381588731</v>
      </c>
      <c r="J185" s="306">
        <f t="shared" ca="1" si="72"/>
        <v>14.554924800179293</v>
      </c>
      <c r="K185" s="307">
        <f t="shared" ca="1" si="73"/>
        <v>145.30218606112652</v>
      </c>
      <c r="L185" s="304">
        <f t="shared" ca="1" si="58"/>
        <v>146.02935016660558</v>
      </c>
      <c r="M185" s="306">
        <f t="shared" ca="1" si="74"/>
        <v>1.4655337393485242</v>
      </c>
      <c r="N185" s="304">
        <f t="shared" ca="1" si="75"/>
        <v>83.968897998696093</v>
      </c>
      <c r="P185" s="310">
        <f t="shared" ca="1" si="76"/>
        <v>5</v>
      </c>
      <c r="Q185" s="304">
        <f t="shared" ca="1" si="77"/>
        <v>614.4699999999998</v>
      </c>
      <c r="R185" s="306">
        <f t="shared" ca="1" si="78"/>
        <v>0.30837386378542231</v>
      </c>
      <c r="S185" s="307">
        <f t="shared" ca="1" si="79"/>
        <v>7.2156155282577963</v>
      </c>
      <c r="T185" s="304">
        <f t="shared" ca="1" si="59"/>
        <v>70.785188332208989</v>
      </c>
      <c r="U185" s="311">
        <f t="shared" ca="1" si="60"/>
        <v>0</v>
      </c>
      <c r="V185" s="306">
        <f t="shared" ca="1" si="61"/>
        <v>1.2073288649352665</v>
      </c>
      <c r="W185" s="304">
        <f t="shared" ca="1" si="62"/>
        <v>70.847710012544368</v>
      </c>
      <c r="Y185" s="314" t="str">
        <f t="shared" ca="1" si="80"/>
        <v/>
      </c>
      <c r="Z185" s="315" t="str">
        <f t="shared" ca="1" si="81"/>
        <v/>
      </c>
      <c r="AA185" s="316" t="str">
        <f t="shared" ca="1" si="82"/>
        <v/>
      </c>
      <c r="AC185" s="310" t="e">
        <f t="shared" ca="1" si="83"/>
        <v>#N/A</v>
      </c>
      <c r="AD185" s="323" t="e">
        <f t="shared" ca="1" si="84"/>
        <v>#N/A</v>
      </c>
      <c r="AE185" s="324">
        <f t="shared" ca="1" si="63"/>
        <v>145.30218606112652</v>
      </c>
      <c r="AG185" s="306">
        <f t="shared" ca="1" si="85"/>
        <v>65.666667363981304</v>
      </c>
      <c r="AH185" s="304">
        <f t="shared" ca="1" si="86"/>
        <v>75.422438552959321</v>
      </c>
    </row>
    <row r="186" spans="1:34" x14ac:dyDescent="0.2">
      <c r="A186" s="347">
        <f t="shared" ca="1" si="64"/>
        <v>0.01</v>
      </c>
      <c r="B186" s="304">
        <f t="shared" ca="1" si="65"/>
        <v>1.8200000000000014</v>
      </c>
      <c r="D186" s="306">
        <f t="shared" ca="1" si="66"/>
        <v>7.8979223158555456</v>
      </c>
      <c r="E186" s="307">
        <f t="shared" ca="1" si="67"/>
        <v>64.94334511338289</v>
      </c>
      <c r="F186" s="304">
        <f t="shared" ca="1" si="68"/>
        <v>65.421825497483965</v>
      </c>
      <c r="G186" s="306">
        <f t="shared" ca="1" si="69"/>
        <v>16.13225584868529</v>
      </c>
      <c r="H186" s="307">
        <f t="shared" ca="1" si="70"/>
        <v>152.59270154069964</v>
      </c>
      <c r="I186" s="304">
        <f t="shared" ca="1" si="71"/>
        <v>153.44309121709088</v>
      </c>
      <c r="J186" s="306">
        <f t="shared" ca="1" si="72"/>
        <v>14.715852462550354</v>
      </c>
      <c r="K186" s="307">
        <f t="shared" ca="1" si="73"/>
        <v>146.82486590927783</v>
      </c>
      <c r="L186" s="304">
        <f t="shared" ca="1" si="58"/>
        <v>147.56048781085323</v>
      </c>
      <c r="M186" s="306">
        <f t="shared" ca="1" si="74"/>
        <v>1.4654665665563757</v>
      </c>
      <c r="N186" s="304">
        <f t="shared" ca="1" si="75"/>
        <v>83.965049281207882</v>
      </c>
      <c r="P186" s="310">
        <f t="shared" ca="1" si="76"/>
        <v>5</v>
      </c>
      <c r="Q186" s="304">
        <f t="shared" ca="1" si="77"/>
        <v>613.00999999999976</v>
      </c>
      <c r="R186" s="306">
        <f t="shared" ca="1" si="78"/>
        <v>0.30764115780933443</v>
      </c>
      <c r="S186" s="307">
        <f t="shared" ca="1" si="79"/>
        <v>7.2125391166797028</v>
      </c>
      <c r="T186" s="304">
        <f t="shared" ca="1" si="59"/>
        <v>70.755008734627893</v>
      </c>
      <c r="U186" s="311">
        <f t="shared" ca="1" si="60"/>
        <v>0</v>
      </c>
      <c r="V186" s="306">
        <f t="shared" ca="1" si="61"/>
        <v>1.2071450315932204</v>
      </c>
      <c r="W186" s="304">
        <f t="shared" ca="1" si="62"/>
        <v>71.44477097186288</v>
      </c>
      <c r="Y186" s="314" t="str">
        <f t="shared" ca="1" si="80"/>
        <v/>
      </c>
      <c r="Z186" s="315" t="str">
        <f t="shared" ca="1" si="81"/>
        <v/>
      </c>
      <c r="AA186" s="316" t="str">
        <f t="shared" ca="1" si="82"/>
        <v/>
      </c>
      <c r="AC186" s="310" t="e">
        <f t="shared" ca="1" si="83"/>
        <v>#N/A</v>
      </c>
      <c r="AD186" s="323" t="e">
        <f t="shared" ca="1" si="84"/>
        <v>#N/A</v>
      </c>
      <c r="AE186" s="324">
        <f t="shared" ca="1" si="63"/>
        <v>146.82486590927783</v>
      </c>
      <c r="AG186" s="306">
        <f t="shared" ca="1" si="85"/>
        <v>65.413705502184229</v>
      </c>
      <c r="AH186" s="304">
        <f t="shared" ca="1" si="86"/>
        <v>75.169407224933039</v>
      </c>
    </row>
    <row r="187" spans="1:34" x14ac:dyDescent="0.2">
      <c r="A187" s="347">
        <f t="shared" ca="1" si="64"/>
        <v>0.01</v>
      </c>
      <c r="B187" s="304">
        <f t="shared" ca="1" si="65"/>
        <v>1.8300000000000014</v>
      </c>
      <c r="D187" s="306">
        <f t="shared" ca="1" si="66"/>
        <v>7.8763100360497518</v>
      </c>
      <c r="E187" s="307">
        <f t="shared" ca="1" si="67"/>
        <v>64.690890504467447</v>
      </c>
      <c r="F187" s="304">
        <f t="shared" ca="1" si="68"/>
        <v>65.168608808574191</v>
      </c>
      <c r="G187" s="306">
        <f t="shared" ca="1" si="69"/>
        <v>16.211018949045787</v>
      </c>
      <c r="H187" s="307">
        <f t="shared" ca="1" si="70"/>
        <v>153.23961044574432</v>
      </c>
      <c r="I187" s="304">
        <f t="shared" ca="1" si="71"/>
        <v>154.09469603114118</v>
      </c>
      <c r="J187" s="306">
        <f t="shared" ca="1" si="72"/>
        <v>14.877568836539009</v>
      </c>
      <c r="K187" s="307">
        <f t="shared" ca="1" si="73"/>
        <v>148.35402746921005</v>
      </c>
      <c r="L187" s="304">
        <f t="shared" ca="1" si="58"/>
        <v>149.09815398193598</v>
      </c>
      <c r="M187" s="306">
        <f t="shared" ca="1" si="74"/>
        <v>1.4653996352842908</v>
      </c>
      <c r="N187" s="304">
        <f t="shared" ca="1" si="75"/>
        <v>83.961214401799978</v>
      </c>
      <c r="P187" s="310">
        <f t="shared" ca="1" si="76"/>
        <v>5</v>
      </c>
      <c r="Q187" s="304">
        <f t="shared" ca="1" si="77"/>
        <v>611.54999999999973</v>
      </c>
      <c r="R187" s="306">
        <f t="shared" ca="1" si="78"/>
        <v>0.30690845183324655</v>
      </c>
      <c r="S187" s="307">
        <f t="shared" ca="1" si="79"/>
        <v>7.2094700321613701</v>
      </c>
      <c r="T187" s="304">
        <f t="shared" ca="1" si="59"/>
        <v>70.72490101550305</v>
      </c>
      <c r="U187" s="311">
        <f t="shared" ca="1" si="60"/>
        <v>0</v>
      </c>
      <c r="V187" s="306">
        <f t="shared" ca="1" si="61"/>
        <v>1.2069604436767376</v>
      </c>
      <c r="W187" s="304">
        <f t="shared" ca="1" si="62"/>
        <v>72.041830117654357</v>
      </c>
      <c r="Y187" s="314" t="str">
        <f t="shared" ca="1" si="80"/>
        <v/>
      </c>
      <c r="Z187" s="315" t="str">
        <f t="shared" ca="1" si="81"/>
        <v/>
      </c>
      <c r="AA187" s="316" t="str">
        <f t="shared" ca="1" si="82"/>
        <v/>
      </c>
      <c r="AC187" s="310" t="e">
        <f t="shared" ca="1" si="83"/>
        <v>#N/A</v>
      </c>
      <c r="AD187" s="323" t="e">
        <f t="shared" ca="1" si="84"/>
        <v>#N/A</v>
      </c>
      <c r="AE187" s="324">
        <f t="shared" ca="1" si="63"/>
        <v>148.35402746921005</v>
      </c>
      <c r="AG187" s="306">
        <f t="shared" ca="1" si="85"/>
        <v>65.160446889392119</v>
      </c>
      <c r="AH187" s="304">
        <f t="shared" ca="1" si="86"/>
        <v>74.916079353785094</v>
      </c>
    </row>
    <row r="188" spans="1:34" x14ac:dyDescent="0.2">
      <c r="A188" s="347">
        <f t="shared" ca="1" si="64"/>
        <v>0.01</v>
      </c>
      <c r="B188" s="304">
        <f t="shared" ca="1" si="65"/>
        <v>1.8400000000000014</v>
      </c>
      <c r="D188" s="306">
        <f t="shared" ca="1" si="66"/>
        <v>7.8546152836898697</v>
      </c>
      <c r="E188" s="307">
        <f t="shared" ca="1" si="67"/>
        <v>64.438151214743513</v>
      </c>
      <c r="F188" s="304">
        <f t="shared" ca="1" si="68"/>
        <v>64.915100810434893</v>
      </c>
      <c r="G188" s="306">
        <f t="shared" ca="1" si="69"/>
        <v>16.289565101882687</v>
      </c>
      <c r="H188" s="307">
        <f t="shared" ca="1" si="70"/>
        <v>153.88399195789177</v>
      </c>
      <c r="I188" s="304">
        <f t="shared" ca="1" si="71"/>
        <v>154.74376534162846</v>
      </c>
      <c r="J188" s="306">
        <f t="shared" ca="1" si="72"/>
        <v>15.040071756793651</v>
      </c>
      <c r="K188" s="307">
        <f t="shared" ca="1" si="73"/>
        <v>149.88964548122823</v>
      </c>
      <c r="L188" s="304">
        <f t="shared" ca="1" si="58"/>
        <v>150.64232333888702</v>
      </c>
      <c r="M188" s="306">
        <f t="shared" ca="1" si="74"/>
        <v>1.4653329425580939</v>
      </c>
      <c r="N188" s="304">
        <f t="shared" ca="1" si="75"/>
        <v>83.957393190064678</v>
      </c>
      <c r="P188" s="310">
        <f t="shared" ca="1" si="76"/>
        <v>5</v>
      </c>
      <c r="Q188" s="304">
        <f t="shared" ca="1" si="77"/>
        <v>610.0899999999998</v>
      </c>
      <c r="R188" s="306">
        <f t="shared" ca="1" si="78"/>
        <v>0.30617574585715868</v>
      </c>
      <c r="S188" s="307">
        <f t="shared" ca="1" si="79"/>
        <v>7.2064082747027989</v>
      </c>
      <c r="T188" s="304">
        <f t="shared" ca="1" si="59"/>
        <v>70.694865174834462</v>
      </c>
      <c r="U188" s="311">
        <f t="shared" ca="1" si="60"/>
        <v>0</v>
      </c>
      <c r="V188" s="306">
        <f t="shared" ca="1" si="61"/>
        <v>1.2067751045841901</v>
      </c>
      <c r="W188" s="304">
        <f t="shared" ca="1" si="62"/>
        <v>72.638853635352206</v>
      </c>
      <c r="Y188" s="314" t="str">
        <f t="shared" ca="1" si="80"/>
        <v/>
      </c>
      <c r="Z188" s="315" t="str">
        <f t="shared" ca="1" si="81"/>
        <v/>
      </c>
      <c r="AA188" s="316" t="str">
        <f t="shared" ca="1" si="82"/>
        <v/>
      </c>
      <c r="AC188" s="310" t="e">
        <f t="shared" ca="1" si="83"/>
        <v>#N/A</v>
      </c>
      <c r="AD188" s="323" t="e">
        <f t="shared" ca="1" si="84"/>
        <v>#N/A</v>
      </c>
      <c r="AE188" s="324">
        <f t="shared" ca="1" si="63"/>
        <v>149.88964548122823</v>
      </c>
      <c r="AG188" s="306">
        <f t="shared" ca="1" si="85"/>
        <v>64.906896634335467</v>
      </c>
      <c r="AH188" s="304">
        <f t="shared" ca="1" si="86"/>
        <v>74.662460045609222</v>
      </c>
    </row>
    <row r="189" spans="1:34" x14ac:dyDescent="0.2">
      <c r="A189" s="347">
        <f t="shared" ca="1" si="64"/>
        <v>0.01</v>
      </c>
      <c r="B189" s="304">
        <f t="shared" ca="1" si="65"/>
        <v>1.8500000000000014</v>
      </c>
      <c r="D189" s="306">
        <f t="shared" ca="1" si="66"/>
        <v>7.8328389406241863</v>
      </c>
      <c r="E189" s="307">
        <f t="shared" ca="1" si="67"/>
        <v>64.185132283007619</v>
      </c>
      <c r="F189" s="304">
        <f t="shared" ca="1" si="68"/>
        <v>64.661306606477922</v>
      </c>
      <c r="G189" s="306">
        <f t="shared" ca="1" si="69"/>
        <v>16.367893491288928</v>
      </c>
      <c r="H189" s="307">
        <f t="shared" ca="1" si="70"/>
        <v>154.52584328072183</v>
      </c>
      <c r="I189" s="304">
        <f t="shared" ca="1" si="71"/>
        <v>155.39029628313469</v>
      </c>
      <c r="J189" s="306">
        <f t="shared" ca="1" si="72"/>
        <v>15.203359049759509</v>
      </c>
      <c r="K189" s="307">
        <f t="shared" ca="1" si="73"/>
        <v>151.4316946574213</v>
      </c>
      <c r="L189" s="304">
        <f t="shared" ca="1" si="58"/>
        <v>152.19297051182878</v>
      </c>
      <c r="M189" s="306">
        <f t="shared" ca="1" si="74"/>
        <v>1.4652664854494595</v>
      </c>
      <c r="N189" s="304">
        <f t="shared" ca="1" si="75"/>
        <v>83.953585478221271</v>
      </c>
      <c r="P189" s="310">
        <f t="shared" ca="1" si="76"/>
        <v>5</v>
      </c>
      <c r="Q189" s="304">
        <f t="shared" ca="1" si="77"/>
        <v>608.62999999999977</v>
      </c>
      <c r="R189" s="306">
        <f t="shared" ca="1" si="78"/>
        <v>0.3054430398810708</v>
      </c>
      <c r="S189" s="307">
        <f t="shared" ca="1" si="79"/>
        <v>7.2033538443039884</v>
      </c>
      <c r="T189" s="304">
        <f t="shared" ca="1" si="59"/>
        <v>70.664901212622127</v>
      </c>
      <c r="U189" s="311">
        <f t="shared" ca="1" si="60"/>
        <v>0</v>
      </c>
      <c r="V189" s="306">
        <f t="shared" ca="1" si="61"/>
        <v>1.2065890177168384</v>
      </c>
      <c r="W189" s="304">
        <f t="shared" ca="1" si="62"/>
        <v>73.235807855812695</v>
      </c>
      <c r="Y189" s="314" t="str">
        <f t="shared" ca="1" si="80"/>
        <v/>
      </c>
      <c r="Z189" s="315" t="str">
        <f t="shared" ca="1" si="81"/>
        <v/>
      </c>
      <c r="AA189" s="316" t="str">
        <f t="shared" ca="1" si="82"/>
        <v/>
      </c>
      <c r="AC189" s="310" t="e">
        <f t="shared" ca="1" si="83"/>
        <v>#N/A</v>
      </c>
      <c r="AD189" s="323" t="e">
        <f t="shared" ca="1" si="84"/>
        <v>#N/A</v>
      </c>
      <c r="AE189" s="324">
        <f t="shared" ca="1" si="63"/>
        <v>151.4316946574213</v>
      </c>
      <c r="AG189" s="306">
        <f t="shared" ca="1" si="85"/>
        <v>64.653059836195013</v>
      </c>
      <c r="AH189" s="304">
        <f t="shared" ca="1" si="86"/>
        <v>74.408554396988222</v>
      </c>
    </row>
    <row r="190" spans="1:34" x14ac:dyDescent="0.2">
      <c r="A190" s="347">
        <f t="shared" ca="1" si="64"/>
        <v>0.01</v>
      </c>
      <c r="B190" s="304">
        <f t="shared" ca="1" si="65"/>
        <v>1.8600000000000014</v>
      </c>
      <c r="D190" s="306">
        <f t="shared" ca="1" si="66"/>
        <v>7.810981883037476</v>
      </c>
      <c r="E190" s="307">
        <f t="shared" ca="1" si="67"/>
        <v>63.93183873869765</v>
      </c>
      <c r="F190" s="304">
        <f t="shared" ca="1" si="68"/>
        <v>64.407231290344882</v>
      </c>
      <c r="G190" s="306">
        <f t="shared" ca="1" si="69"/>
        <v>16.446003310119302</v>
      </c>
      <c r="H190" s="307">
        <f t="shared" ca="1" si="70"/>
        <v>155.16516166810879</v>
      </c>
      <c r="I190" s="304">
        <f t="shared" ca="1" si="71"/>
        <v>156.0342860411352</v>
      </c>
      <c r="J190" s="306">
        <f t="shared" ca="1" si="72"/>
        <v>15.367428533766551</v>
      </c>
      <c r="K190" s="307">
        <f t="shared" ca="1" si="73"/>
        <v>152.98014968216546</v>
      </c>
      <c r="L190" s="304">
        <f t="shared" ca="1" si="58"/>
        <v>153.75007010248214</v>
      </c>
      <c r="M190" s="306">
        <f t="shared" ca="1" si="74"/>
        <v>1.4652002610749342</v>
      </c>
      <c r="N190" s="304">
        <f t="shared" ca="1" si="75"/>
        <v>83.949791101060086</v>
      </c>
      <c r="P190" s="310">
        <f t="shared" ca="1" si="76"/>
        <v>5</v>
      </c>
      <c r="Q190" s="304">
        <f t="shared" ca="1" si="77"/>
        <v>607.16999999999973</v>
      </c>
      <c r="R190" s="306">
        <f t="shared" ca="1" si="78"/>
        <v>0.30471033390498292</v>
      </c>
      <c r="S190" s="307">
        <f t="shared" ca="1" si="79"/>
        <v>7.2003067409649386</v>
      </c>
      <c r="T190" s="304">
        <f t="shared" ca="1" si="59"/>
        <v>70.635009128866045</v>
      </c>
      <c r="U190" s="311">
        <f t="shared" ca="1" si="60"/>
        <v>0</v>
      </c>
      <c r="V190" s="306">
        <f t="shared" ca="1" si="61"/>
        <v>1.2064021864787473</v>
      </c>
      <c r="W190" s="304">
        <f t="shared" ca="1" si="62"/>
        <v>73.832659256784993</v>
      </c>
      <c r="Y190" s="314" t="str">
        <f t="shared" ca="1" si="80"/>
        <v/>
      </c>
      <c r="Z190" s="315" t="str">
        <f t="shared" ca="1" si="81"/>
        <v/>
      </c>
      <c r="AA190" s="316" t="str">
        <f t="shared" ca="1" si="82"/>
        <v/>
      </c>
      <c r="AC190" s="310" t="e">
        <f t="shared" ca="1" si="83"/>
        <v>#N/A</v>
      </c>
      <c r="AD190" s="323" t="e">
        <f t="shared" ca="1" si="84"/>
        <v>#N/A</v>
      </c>
      <c r="AE190" s="324">
        <f t="shared" ca="1" si="63"/>
        <v>152.98014968216546</v>
      </c>
      <c r="AG190" s="306">
        <f t="shared" ca="1" si="85"/>
        <v>64.398941584323552</v>
      </c>
      <c r="AH190" s="304">
        <f t="shared" ca="1" si="86"/>
        <v>74.154367494714904</v>
      </c>
    </row>
    <row r="191" spans="1:34" x14ac:dyDescent="0.2">
      <c r="A191" s="347">
        <f t="shared" ca="1" si="64"/>
        <v>0.01</v>
      </c>
      <c r="B191" s="304">
        <f t="shared" ca="1" si="65"/>
        <v>1.8700000000000014</v>
      </c>
      <c r="D191" s="306">
        <f t="shared" ca="1" si="66"/>
        <v>7.7890449815283445</v>
      </c>
      <c r="E191" s="307">
        <f t="shared" ca="1" si="67"/>
        <v>63.678275601608817</v>
      </c>
      <c r="F191" s="304">
        <f t="shared" ca="1" si="68"/>
        <v>64.152879945632378</v>
      </c>
      <c r="G191" s="306">
        <f t="shared" ca="1" si="69"/>
        <v>16.523893759934584</v>
      </c>
      <c r="H191" s="307">
        <f t="shared" ca="1" si="70"/>
        <v>155.80194442412488</v>
      </c>
      <c r="I191" s="304">
        <f t="shared" ca="1" si="71"/>
        <v>156.67573185189755</v>
      </c>
      <c r="J191" s="306">
        <f t="shared" ca="1" si="72"/>
        <v>15.53227801911682</v>
      </c>
      <c r="K191" s="307">
        <f t="shared" ca="1" si="73"/>
        <v>154.53498521262662</v>
      </c>
      <c r="L191" s="304">
        <f t="shared" ca="1" si="58"/>
        <v>155.31359668467493</v>
      </c>
      <c r="M191" s="306">
        <f t="shared" ca="1" si="74"/>
        <v>1.465134266594982</v>
      </c>
      <c r="N191" s="304">
        <f t="shared" ca="1" si="75"/>
        <v>83.94600989588767</v>
      </c>
      <c r="P191" s="310">
        <f t="shared" ca="1" si="76"/>
        <v>5</v>
      </c>
      <c r="Q191" s="304">
        <f t="shared" ca="1" si="77"/>
        <v>605.70999999999981</v>
      </c>
      <c r="R191" s="306">
        <f t="shared" ca="1" si="78"/>
        <v>0.30397762792889504</v>
      </c>
      <c r="S191" s="307">
        <f t="shared" ca="1" si="79"/>
        <v>7.1972669646856495</v>
      </c>
      <c r="T191" s="304">
        <f t="shared" ca="1" si="59"/>
        <v>70.605188923566232</v>
      </c>
      <c r="U191" s="311">
        <f t="shared" ca="1" si="60"/>
        <v>0</v>
      </c>
      <c r="V191" s="306">
        <f t="shared" ca="1" si="61"/>
        <v>1.2062146142767014</v>
      </c>
      <c r="W191" s="304">
        <f t="shared" ca="1" si="62"/>
        <v>74.429374464360421</v>
      </c>
      <c r="Y191" s="314" t="str">
        <f t="shared" ca="1" si="80"/>
        <v/>
      </c>
      <c r="Z191" s="315" t="str">
        <f t="shared" ca="1" si="81"/>
        <v/>
      </c>
      <c r="AA191" s="316" t="str">
        <f t="shared" ca="1" si="82"/>
        <v/>
      </c>
      <c r="AC191" s="310" t="e">
        <f t="shared" ca="1" si="83"/>
        <v>#N/A</v>
      </c>
      <c r="AD191" s="323" t="e">
        <f t="shared" ca="1" si="84"/>
        <v>#N/A</v>
      </c>
      <c r="AE191" s="324">
        <f t="shared" ca="1" si="63"/>
        <v>154.53498521262662</v>
      </c>
      <c r="AG191" s="306">
        <f t="shared" ca="1" si="85"/>
        <v>64.144546957969908</v>
      </c>
      <c r="AH191" s="304">
        <f t="shared" ca="1" si="86"/>
        <v>73.899904415515223</v>
      </c>
    </row>
    <row r="192" spans="1:34" x14ac:dyDescent="0.2">
      <c r="A192" s="347">
        <f t="shared" ca="1" si="64"/>
        <v>0.01</v>
      </c>
      <c r="B192" s="304">
        <f t="shared" ca="1" si="65"/>
        <v>1.8800000000000014</v>
      </c>
      <c r="D192" s="306">
        <f t="shared" ca="1" si="66"/>
        <v>7.7670291011839652</v>
      </c>
      <c r="E192" s="307">
        <f t="shared" ca="1" si="67"/>
        <v>63.424447881612053</v>
      </c>
      <c r="F192" s="304">
        <f t="shared" ca="1" si="68"/>
        <v>63.898257645619431</v>
      </c>
      <c r="G192" s="306">
        <f t="shared" ca="1" si="69"/>
        <v>16.601564050946422</v>
      </c>
      <c r="H192" s="307">
        <f t="shared" ca="1" si="70"/>
        <v>156.43618890294101</v>
      </c>
      <c r="I192" s="304">
        <f t="shared" ca="1" si="71"/>
        <v>157.31463100237792</v>
      </c>
      <c r="J192" s="306">
        <f t="shared" ca="1" si="72"/>
        <v>15.697905308171224</v>
      </c>
      <c r="K192" s="307">
        <f t="shared" ca="1" si="73"/>
        <v>156.09617587926195</v>
      </c>
      <c r="L192" s="304">
        <f t="shared" ca="1" si="58"/>
        <v>156.88352480484937</v>
      </c>
      <c r="M192" s="306">
        <f t="shared" ca="1" si="74"/>
        <v>1.4650684992130572</v>
      </c>
      <c r="N192" s="304">
        <f t="shared" ca="1" si="75"/>
        <v>83.942241702473751</v>
      </c>
      <c r="P192" s="310">
        <f t="shared" ca="1" si="76"/>
        <v>5</v>
      </c>
      <c r="Q192" s="304">
        <f t="shared" ca="1" si="77"/>
        <v>604.24999999999977</v>
      </c>
      <c r="R192" s="306">
        <f t="shared" ca="1" si="78"/>
        <v>0.30324492195280717</v>
      </c>
      <c r="S192" s="307">
        <f t="shared" ca="1" si="79"/>
        <v>7.1942345154661211</v>
      </c>
      <c r="T192" s="304">
        <f t="shared" ca="1" si="59"/>
        <v>70.575440596722657</v>
      </c>
      <c r="U192" s="311">
        <f t="shared" ca="1" si="60"/>
        <v>0</v>
      </c>
      <c r="V192" s="306">
        <f t="shared" ca="1" si="61"/>
        <v>1.2060263045201258</v>
      </c>
      <c r="W192" s="304">
        <f t="shared" ca="1" si="62"/>
        <v>75.025920254401854</v>
      </c>
      <c r="Y192" s="314" t="str">
        <f t="shared" ca="1" si="80"/>
        <v/>
      </c>
      <c r="Z192" s="315" t="str">
        <f t="shared" ca="1" si="81"/>
        <v/>
      </c>
      <c r="AA192" s="316" t="str">
        <f t="shared" ca="1" si="82"/>
        <v/>
      </c>
      <c r="AC192" s="310" t="e">
        <f t="shared" ca="1" si="83"/>
        <v>#N/A</v>
      </c>
      <c r="AD192" s="323" t="e">
        <f t="shared" ca="1" si="84"/>
        <v>#N/A</v>
      </c>
      <c r="AE192" s="324">
        <f t="shared" ca="1" si="63"/>
        <v>156.09617587926195</v>
      </c>
      <c r="AG192" s="306">
        <f t="shared" ca="1" si="85"/>
        <v>63.889881026005085</v>
      </c>
      <c r="AH192" s="304">
        <f t="shared" ca="1" si="86"/>
        <v>73.64517022577374</v>
      </c>
    </row>
    <row r="193" spans="1:34" x14ac:dyDescent="0.2">
      <c r="A193" s="347">
        <f t="shared" ca="1" si="64"/>
        <v>0.01</v>
      </c>
      <c r="B193" s="304">
        <f t="shared" ca="1" si="65"/>
        <v>1.8900000000000015</v>
      </c>
      <c r="D193" s="306">
        <f t="shared" ca="1" si="66"/>
        <v>7.7449351016520627</v>
      </c>
      <c r="E193" s="307">
        <f t="shared" ca="1" si="67"/>
        <v>63.170360578375167</v>
      </c>
      <c r="F193" s="304">
        <f t="shared" ca="1" si="68"/>
        <v>63.643369452997518</v>
      </c>
      <c r="G193" s="306">
        <f t="shared" ca="1" si="69"/>
        <v>16.679013401962944</v>
      </c>
      <c r="H193" s="307">
        <f t="shared" ca="1" si="70"/>
        <v>157.06789250872475</v>
      </c>
      <c r="I193" s="304">
        <f t="shared" ca="1" si="71"/>
        <v>157.95098083011442</v>
      </c>
      <c r="J193" s="306">
        <f t="shared" ca="1" si="72"/>
        <v>15.86430819543577</v>
      </c>
      <c r="K193" s="307">
        <f t="shared" ca="1" si="73"/>
        <v>157.66369628632029</v>
      </c>
      <c r="L193" s="304">
        <f t="shared" ca="1" si="58"/>
        <v>158.45982898256838</v>
      </c>
      <c r="M193" s="306">
        <f t="shared" ca="1" si="74"/>
        <v>1.465002956174698</v>
      </c>
      <c r="N193" s="304">
        <f t="shared" ca="1" si="75"/>
        <v>83.938486362999299</v>
      </c>
      <c r="P193" s="310">
        <f t="shared" ca="1" si="76"/>
        <v>5</v>
      </c>
      <c r="Q193" s="304">
        <f t="shared" ca="1" si="77"/>
        <v>602.78999999999974</v>
      </c>
      <c r="R193" s="306">
        <f t="shared" ca="1" si="78"/>
        <v>0.30251221597671929</v>
      </c>
      <c r="S193" s="307">
        <f t="shared" ca="1" si="79"/>
        <v>7.1912093933063543</v>
      </c>
      <c r="T193" s="304">
        <f t="shared" ca="1" si="59"/>
        <v>70.545764148335337</v>
      </c>
      <c r="U193" s="311">
        <f t="shared" ca="1" si="60"/>
        <v>0</v>
      </c>
      <c r="V193" s="306">
        <f t="shared" ca="1" si="61"/>
        <v>1.2058372606209993</v>
      </c>
      <c r="W193" s="304">
        <f t="shared" ca="1" si="62"/>
        <v>75.622263553951271</v>
      </c>
      <c r="Y193" s="314" t="str">
        <f t="shared" ca="1" si="80"/>
        <v/>
      </c>
      <c r="Z193" s="315" t="str">
        <f t="shared" ca="1" si="81"/>
        <v/>
      </c>
      <c r="AA193" s="316" t="str">
        <f t="shared" ca="1" si="82"/>
        <v/>
      </c>
      <c r="AC193" s="310" t="e">
        <f t="shared" ca="1" si="83"/>
        <v>#N/A</v>
      </c>
      <c r="AD193" s="323" t="e">
        <f t="shared" ca="1" si="84"/>
        <v>#N/A</v>
      </c>
      <c r="AE193" s="324">
        <f t="shared" ca="1" si="63"/>
        <v>157.66369628632029</v>
      </c>
      <c r="AG193" s="306">
        <f t="shared" ca="1" si="85"/>
        <v>63.634948846651014</v>
      </c>
      <c r="AH193" s="304">
        <f t="shared" ca="1" si="86"/>
        <v>73.390169981261522</v>
      </c>
    </row>
    <row r="194" spans="1:34" x14ac:dyDescent="0.2">
      <c r="A194" s="347">
        <f t="shared" ca="1" si="64"/>
        <v>0.01</v>
      </c>
      <c r="B194" s="304">
        <f t="shared" ca="1" si="65"/>
        <v>1.9000000000000015</v>
      </c>
      <c r="D194" s="306">
        <f t="shared" ca="1" si="66"/>
        <v>7.7227638372105272</v>
      </c>
      <c r="E194" s="307">
        <f t="shared" ca="1" si="67"/>
        <v>62.91601868108647</v>
      </c>
      <c r="F194" s="304">
        <f t="shared" ca="1" si="68"/>
        <v>63.388220419602789</v>
      </c>
      <c r="G194" s="306">
        <f t="shared" ca="1" si="69"/>
        <v>16.756241040335048</v>
      </c>
      <c r="H194" s="307">
        <f t="shared" ca="1" si="70"/>
        <v>157.69705269553563</v>
      </c>
      <c r="I194" s="304">
        <f t="shared" ca="1" si="71"/>
        <v>158.58477872311815</v>
      </c>
      <c r="J194" s="306">
        <f t="shared" ca="1" si="72"/>
        <v>16.03148446764726</v>
      </c>
      <c r="K194" s="307">
        <f t="shared" ca="1" si="73"/>
        <v>159.2375210123416</v>
      </c>
      <c r="L194" s="304">
        <f t="shared" ca="1" si="58"/>
        <v>160.04248371102076</v>
      </c>
      <c r="M194" s="306">
        <f t="shared" ca="1" si="74"/>
        <v>1.4649376347666485</v>
      </c>
      <c r="N194" s="304">
        <f t="shared" ca="1" si="75"/>
        <v>83.934743722006218</v>
      </c>
      <c r="P194" s="310">
        <f t="shared" ca="1" si="76"/>
        <v>5</v>
      </c>
      <c r="Q194" s="304">
        <f t="shared" ca="1" si="77"/>
        <v>601.32999999999981</v>
      </c>
      <c r="R194" s="306">
        <f t="shared" ca="1" si="78"/>
        <v>0.30177951000063147</v>
      </c>
      <c r="S194" s="307">
        <f t="shared" ca="1" si="79"/>
        <v>7.1881915982063482</v>
      </c>
      <c r="T194" s="304">
        <f t="shared" ca="1" si="59"/>
        <v>70.516159578404285</v>
      </c>
      <c r="U194" s="311">
        <f t="shared" ca="1" si="60"/>
        <v>0</v>
      </c>
      <c r="V194" s="306">
        <f t="shared" ca="1" si="61"/>
        <v>1.2056474859937736</v>
      </c>
      <c r="W194" s="304">
        <f t="shared" ca="1" si="62"/>
        <v>76.218371442617638</v>
      </c>
      <c r="Y194" s="314" t="str">
        <f t="shared" ca="1" si="80"/>
        <v/>
      </c>
      <c r="Z194" s="315" t="str">
        <f t="shared" ca="1" si="81"/>
        <v/>
      </c>
      <c r="AA194" s="316" t="str">
        <f t="shared" ca="1" si="82"/>
        <v/>
      </c>
      <c r="AC194" s="310" t="e">
        <f t="shared" ca="1" si="83"/>
        <v>#N/A</v>
      </c>
      <c r="AD194" s="323" t="e">
        <f t="shared" ca="1" si="84"/>
        <v>#N/A</v>
      </c>
      <c r="AE194" s="324">
        <f t="shared" ca="1" si="63"/>
        <v>159.2375210123416</v>
      </c>
      <c r="AG194" s="306">
        <f t="shared" ca="1" si="85"/>
        <v>63.379755467211346</v>
      </c>
      <c r="AH194" s="304">
        <f t="shared" ca="1" si="86"/>
        <v>73.134908726866314</v>
      </c>
    </row>
    <row r="195" spans="1:34" x14ac:dyDescent="0.2">
      <c r="A195" s="347">
        <f t="shared" ca="1" si="64"/>
        <v>0.01</v>
      </c>
      <c r="B195" s="304">
        <f t="shared" ca="1" si="65"/>
        <v>1.9100000000000015</v>
      </c>
      <c r="D195" s="306">
        <f t="shared" ca="1" si="66"/>
        <v>7.700516156834305</v>
      </c>
      <c r="E195" s="307">
        <f t="shared" ca="1" si="67"/>
        <v>62.661427168180822</v>
      </c>
      <c r="F195" s="304">
        <f t="shared" ca="1" si="68"/>
        <v>63.132815586150564</v>
      </c>
      <c r="G195" s="306">
        <f t="shared" ca="1" si="69"/>
        <v>16.833246201903393</v>
      </c>
      <c r="H195" s="307">
        <f t="shared" ca="1" si="70"/>
        <v>158.32366696721743</v>
      </c>
      <c r="I195" s="304">
        <f t="shared" ca="1" si="71"/>
        <v>159.21602211976116</v>
      </c>
      <c r="J195" s="306">
        <f t="shared" ca="1" si="72"/>
        <v>16.199431903858454</v>
      </c>
      <c r="K195" s="307">
        <f t="shared" ca="1" si="73"/>
        <v>160.81762461065537</v>
      </c>
      <c r="L195" s="304">
        <f t="shared" ca="1" si="58"/>
        <v>161.63146345752554</v>
      </c>
      <c r="M195" s="306">
        <f t="shared" ca="1" si="74"/>
        <v>1.4648725323159983</v>
      </c>
      <c r="N195" s="304">
        <f t="shared" ca="1" si="75"/>
        <v>83.931013626348005</v>
      </c>
      <c r="P195" s="310">
        <f t="shared" ca="1" si="76"/>
        <v>5</v>
      </c>
      <c r="Q195" s="304">
        <f t="shared" ca="1" si="77"/>
        <v>599.86999999999978</v>
      </c>
      <c r="R195" s="306">
        <f t="shared" ca="1" si="78"/>
        <v>0.30104680402454354</v>
      </c>
      <c r="S195" s="307">
        <f t="shared" ca="1" si="79"/>
        <v>7.1851811301661028</v>
      </c>
      <c r="T195" s="304">
        <f t="shared" ca="1" si="59"/>
        <v>70.486626886929471</v>
      </c>
      <c r="U195" s="311">
        <f t="shared" ca="1" si="60"/>
        <v>0</v>
      </c>
      <c r="V195" s="306">
        <f t="shared" ca="1" si="61"/>
        <v>1.2054569840552927</v>
      </c>
      <c r="W195" s="304">
        <f t="shared" ca="1" si="62"/>
        <v>76.814211153943305</v>
      </c>
      <c r="Y195" s="314" t="str">
        <f t="shared" ca="1" si="80"/>
        <v/>
      </c>
      <c r="Z195" s="315" t="str">
        <f t="shared" ca="1" si="81"/>
        <v/>
      </c>
      <c r="AA195" s="316" t="str">
        <f t="shared" ca="1" si="82"/>
        <v/>
      </c>
      <c r="AC195" s="310" t="e">
        <f t="shared" ca="1" si="83"/>
        <v>#N/A</v>
      </c>
      <c r="AD195" s="323" t="e">
        <f t="shared" ca="1" si="84"/>
        <v>#N/A</v>
      </c>
      <c r="AE195" s="324">
        <f t="shared" ca="1" si="63"/>
        <v>160.81762461065537</v>
      </c>
      <c r="AG195" s="306">
        <f t="shared" ca="1" si="85"/>
        <v>63.124305923804727</v>
      </c>
      <c r="AH195" s="304">
        <f t="shared" ca="1" si="86"/>
        <v>72.87939149632497</v>
      </c>
    </row>
    <row r="196" spans="1:34" x14ac:dyDescent="0.2">
      <c r="A196" s="347">
        <f t="shared" ca="1" si="64"/>
        <v>0.01</v>
      </c>
      <c r="B196" s="304">
        <f t="shared" ca="1" si="65"/>
        <v>1.9200000000000015</v>
      </c>
      <c r="D196" s="306">
        <f t="shared" ca="1" si="66"/>
        <v>7.6781929042602224</v>
      </c>
      <c r="E196" s="307">
        <f t="shared" ca="1" si="67"/>
        <v>62.406591007068585</v>
      </c>
      <c r="F196" s="304">
        <f t="shared" ca="1" si="68"/>
        <v>62.877159981972511</v>
      </c>
      <c r="G196" s="306">
        <f t="shared" ca="1" si="69"/>
        <v>16.910028130945996</v>
      </c>
      <c r="H196" s="307">
        <f t="shared" ca="1" si="70"/>
        <v>158.94773287728813</v>
      </c>
      <c r="I196" s="304">
        <f t="shared" ca="1" si="71"/>
        <v>159.84470850866199</v>
      </c>
      <c r="J196" s="306">
        <f t="shared" ca="1" si="72"/>
        <v>16.368148275522699</v>
      </c>
      <c r="K196" s="307">
        <f t="shared" ca="1" si="73"/>
        <v>162.40398160987789</v>
      </c>
      <c r="L196" s="304">
        <f t="shared" ref="L196:L259" ca="1" si="87">SQRT(pos_x^2+pos_z^2)</f>
        <v>163.22674266403484</v>
      </c>
      <c r="M196" s="306">
        <f t="shared" ca="1" si="74"/>
        <v>1.4648076461893491</v>
      </c>
      <c r="N196" s="304">
        <f t="shared" ca="1" si="75"/>
        <v>83.927295925142047</v>
      </c>
      <c r="P196" s="310">
        <f t="shared" ca="1" si="76"/>
        <v>5</v>
      </c>
      <c r="Q196" s="304">
        <f t="shared" ca="1" si="77"/>
        <v>598.40999999999974</v>
      </c>
      <c r="R196" s="306">
        <f t="shared" ca="1" si="78"/>
        <v>0.30031409804845566</v>
      </c>
      <c r="S196" s="307">
        <f t="shared" ca="1" si="79"/>
        <v>7.1821779891856181</v>
      </c>
      <c r="T196" s="304">
        <f t="shared" ref="T196:T259" ca="1" si="88">m*g</f>
        <v>70.457166073910912</v>
      </c>
      <c r="U196" s="311">
        <f t="shared" ref="U196:U259" ca="1" si="89">IF(pos_xz&lt;L_rampe,Poids*COS(Beta),0)</f>
        <v>0</v>
      </c>
      <c r="V196" s="306">
        <f t="shared" ref="V196:V259" ca="1" si="90">Rho_moyen*(20000-Alt_rampe-pos_z)/(20000+Alt_rampe+pos_z)</f>
        <v>1.2052657582247079</v>
      </c>
      <c r="W196" s="304">
        <f t="shared" ref="W196:W259" ca="1" si="91">1/2*Rho*Sref*Cx*vit_xz^2</f>
        <v>77.40975007674966</v>
      </c>
      <c r="Y196" s="314" t="str">
        <f t="shared" ca="1" si="80"/>
        <v/>
      </c>
      <c r="Z196" s="315" t="str">
        <f t="shared" ca="1" si="81"/>
        <v/>
      </c>
      <c r="AA196" s="316" t="str">
        <f t="shared" ca="1" si="82"/>
        <v/>
      </c>
      <c r="AC196" s="310" t="e">
        <f t="shared" ca="1" si="83"/>
        <v>#N/A</v>
      </c>
      <c r="AD196" s="323" t="e">
        <f t="shared" ca="1" si="84"/>
        <v>#N/A</v>
      </c>
      <c r="AE196" s="324">
        <f t="shared" ref="AE196:AE259" ca="1" si="92">IF(t&lt;T_para, pos_z, NA())</f>
        <v>162.40398160987789</v>
      </c>
      <c r="AG196" s="306">
        <f t="shared" ca="1" si="85"/>
        <v>62.868605241100532</v>
      </c>
      <c r="AH196" s="304">
        <f t="shared" ca="1" si="86"/>
        <v>72.623623311958568</v>
      </c>
    </row>
    <row r="197" spans="1:34" x14ac:dyDescent="0.2">
      <c r="A197" s="347">
        <f t="shared" ref="A197:A260" ca="1" si="93">IF(B196+0.01&lt;=T_ini+ROUNDUP(Temps_fin_propu,0), 0.01, IF(K196&gt;0, 0.1, 0.0001))</f>
        <v>0.01</v>
      </c>
      <c r="B197" s="304">
        <f t="shared" ref="B197:B260" ca="1" si="94">B196+pas</f>
        <v>1.9300000000000015</v>
      </c>
      <c r="D197" s="306">
        <f t="shared" ref="D197:D260" ca="1" si="95">IF(AND(L196&lt;L_rampe,Poussee&lt;Poids*SIN(M196)),0,(-W196+Poussee)/m*COS(M196)-U196/m*SIN(M196))</f>
        <v>7.6557949180492137</v>
      </c>
      <c r="E197" s="307">
        <f t="shared" ref="E197:E260" ca="1" si="96">IF(AND(L196&lt;L_rampe,Poussee&lt;Poids*SIN(M196)),0,(-W196+Poussee)/m*SIN(M196)+U196/m*COS(M196)-Poids/m)</f>
        <v>62.15151515386701</v>
      </c>
      <c r="F197" s="304">
        <f t="shared" ref="F197:F260" ca="1" si="97">SQRT(acc_x^2+acc_z^2)</f>
        <v>62.621258624756088</v>
      </c>
      <c r="G197" s="306">
        <f t="shared" ref="G197:G260" ca="1" si="98">G196+acc_x*pas</f>
        <v>16.986586080126489</v>
      </c>
      <c r="H197" s="307">
        <f t="shared" ref="H197:H260" ca="1" si="99">H196+acc_z*pas</f>
        <v>159.56924802882679</v>
      </c>
      <c r="I197" s="304">
        <f t="shared" ref="I197:I260" ca="1" si="100">SQRT(vit_x^2+vit_z^2)</f>
        <v>160.47083542856873</v>
      </c>
      <c r="J197" s="306">
        <f t="shared" ref="J197:J260" ca="1" si="101">J196+0.5*(vit_x+G196)*pas*(K196&gt;=0)</f>
        <v>16.537631346578063</v>
      </c>
      <c r="K197" s="307">
        <f t="shared" ref="K197:K260" ca="1" si="102">K196+0.5*(vit_z+H196)*pas</f>
        <v>163.99656651440847</v>
      </c>
      <c r="L197" s="304">
        <f t="shared" ca="1" si="87"/>
        <v>164.82829574763591</v>
      </c>
      <c r="M197" s="306">
        <f t="shared" ref="M197:M260" ca="1" si="103">IF(AND(L196&gt;L_rampe,G197&gt;0),ATAN2(G197,H197),$M$4)</f>
        <v>1.4647429737919984</v>
      </c>
      <c r="N197" s="304">
        <f t="shared" ref="N197:N260" ca="1" si="104">DEGREES(Beta)</f>
        <v>83.923590469722853</v>
      </c>
      <c r="P197" s="310">
        <f t="shared" ref="P197:P260" ca="1" si="105">MATCH(t-pas/2-T_ini,CdP_t)</f>
        <v>5</v>
      </c>
      <c r="Q197" s="304">
        <f t="shared" ref="Q197:Q260" ca="1" si="106">(INDEX(CdP,2,i_P+1)-INDEX(CdP,2,i_P+0))/(INDEX(CdP,1,i_P+1)-INDEX(CdP,1,i_P+0))*(t-pas/2-T_ini-INDEX(CdP,1,i_P+0))+INDEX(CdP,2,i_P+0)</f>
        <v>596.94999999999982</v>
      </c>
      <c r="R197" s="306">
        <f t="shared" ref="R197:R260" ca="1" si="107">Poussee/(g*ISP)</f>
        <v>0.29958139207236784</v>
      </c>
      <c r="S197" s="307">
        <f t="shared" ref="S197:S260" ca="1" si="108">S196-Débit*pas</f>
        <v>7.1791821752648941</v>
      </c>
      <c r="T197" s="304">
        <f t="shared" ca="1" si="88"/>
        <v>70.42777713934862</v>
      </c>
      <c r="U197" s="311">
        <f t="shared" ca="1" si="89"/>
        <v>0</v>
      </c>
      <c r="V197" s="306">
        <f t="shared" ca="1" si="90"/>
        <v>1.2050738119233992</v>
      </c>
      <c r="W197" s="304">
        <f t="shared" ca="1" si="91"/>
        <v>78.004955756462465</v>
      </c>
      <c r="Y197" s="314" t="str">
        <f t="shared" ref="Y197:Y260" ca="1" si="109">IF(AND(pos_z&lt;=0,K196&gt;0),"Impact balistique","") &amp; IF(AND(H198&lt;0,vit_z&gt;=0),"Apogée","") &amp; IF(AND(Poussee=0,Q196&gt;0),"Fin de propulsion","") &amp; IF(AND(L198&gt;L_rampe,pos_xz&lt;=L_rampe),"Sortie de rampe","")</f>
        <v/>
      </c>
      <c r="Z197" s="315" t="str">
        <f t="shared" ref="Z197:Z260" ca="1" si="110">IF(ABS(t-T_para)&lt;pas/2,"Para","")</f>
        <v/>
      </c>
      <c r="AA197" s="316" t="str">
        <f t="shared" ref="AA197:AA260" ca="1" si="111">IF(ABS(t-T_satellite)&lt;pas/2,"Satellite","")</f>
        <v/>
      </c>
      <c r="AC197" s="310" t="e">
        <f t="shared" ref="AC197:AC260" ca="1" si="112">IF(ABS(t-ROUND(t,0))&lt;0.001,t,NA())</f>
        <v>#N/A</v>
      </c>
      <c r="AD197" s="323" t="e">
        <f t="shared" ref="AD197:AD260" ca="1" si="113">IF(ABS(t-ROUND(t,0))&lt;0.001,pos_x,NA())</f>
        <v>#N/A</v>
      </c>
      <c r="AE197" s="324">
        <f t="shared" ca="1" si="92"/>
        <v>163.99656651440847</v>
      </c>
      <c r="AG197" s="306">
        <f t="shared" ref="AG197:AG260" ca="1" si="114">IF(AND(L196&lt;L_rampe,Poussee&lt;Poids*SIN(M196)),0,(-W196+Poussee)/m-Poids*SIN(M196)/m)</f>
        <v>62.61265843205684</v>
      </c>
      <c r="AH197" s="304">
        <f t="shared" ref="AH197:AH260" ca="1" si="115">IF(AND(L196&lt;L_rampe,Poussee&lt;Poids*SIN(M196)), g*SIN(M196), (-W196+Poussee)/m)</f>
        <v>72.367609184409702</v>
      </c>
    </row>
    <row r="198" spans="1:34" x14ac:dyDescent="0.2">
      <c r="A198" s="347">
        <f t="shared" ca="1" si="93"/>
        <v>0.01</v>
      </c>
      <c r="B198" s="304">
        <f t="shared" ca="1" si="94"/>
        <v>1.9400000000000015</v>
      </c>
      <c r="D198" s="306">
        <f t="shared" ca="1" si="95"/>
        <v>7.6333230316465857</v>
      </c>
      <c r="E198" s="307">
        <f t="shared" ca="1" si="96"/>
        <v>61.896204553134041</v>
      </c>
      <c r="F198" s="304">
        <f t="shared" ca="1" si="97"/>
        <v>62.365116520286222</v>
      </c>
      <c r="G198" s="306">
        <f t="shared" ca="1" si="98"/>
        <v>17.062919310442954</v>
      </c>
      <c r="H198" s="307">
        <f t="shared" ca="1" si="99"/>
        <v>160.18821007435812</v>
      </c>
      <c r="I198" s="304">
        <f t="shared" ca="1" si="100"/>
        <v>161.09440046823906</v>
      </c>
      <c r="J198" s="306">
        <f t="shared" ca="1" si="101"/>
        <v>16.707878873530909</v>
      </c>
      <c r="K198" s="307">
        <f t="shared" ca="1" si="102"/>
        <v>165.5953538049244</v>
      </c>
      <c r="L198" s="304">
        <f t="shared" ca="1" si="87"/>
        <v>166.43609710105159</v>
      </c>
      <c r="M198" s="306">
        <f t="shared" ca="1" si="103"/>
        <v>1.4646785125671478</v>
      </c>
      <c r="N198" s="304">
        <f t="shared" ca="1" si="104"/>
        <v>83.919897113596676</v>
      </c>
      <c r="P198" s="310">
        <f t="shared" ca="1" si="105"/>
        <v>5</v>
      </c>
      <c r="Q198" s="304">
        <f t="shared" ca="1" si="106"/>
        <v>595.48999999999978</v>
      </c>
      <c r="R198" s="306">
        <f t="shared" ca="1" si="107"/>
        <v>0.2988486860962799</v>
      </c>
      <c r="S198" s="307">
        <f t="shared" ca="1" si="108"/>
        <v>7.1761936884039317</v>
      </c>
      <c r="T198" s="304">
        <f t="shared" ca="1" si="88"/>
        <v>70.398460083242568</v>
      </c>
      <c r="U198" s="311">
        <f t="shared" ca="1" si="89"/>
        <v>0</v>
      </c>
      <c r="V198" s="306">
        <f t="shared" ca="1" si="90"/>
        <v>1.2048811485748911</v>
      </c>
      <c r="W198" s="304">
        <f t="shared" ca="1" si="91"/>
        <v>78.599795896415614</v>
      </c>
      <c r="Y198" s="314" t="str">
        <f t="shared" ca="1" si="109"/>
        <v/>
      </c>
      <c r="Z198" s="315" t="str">
        <f t="shared" ca="1" si="110"/>
        <v/>
      </c>
      <c r="AA198" s="316" t="str">
        <f t="shared" ca="1" si="111"/>
        <v/>
      </c>
      <c r="AC198" s="310" t="e">
        <f t="shared" ca="1" si="112"/>
        <v>#N/A</v>
      </c>
      <c r="AD198" s="323" t="e">
        <f t="shared" ca="1" si="113"/>
        <v>#N/A</v>
      </c>
      <c r="AE198" s="324">
        <f t="shared" ca="1" si="92"/>
        <v>165.5953538049244</v>
      </c>
      <c r="AG198" s="306">
        <f t="shared" ca="1" si="114"/>
        <v>62.356470497660752</v>
      </c>
      <c r="AH198" s="304">
        <f t="shared" ca="1" si="115"/>
        <v>72.111354112382102</v>
      </c>
    </row>
    <row r="199" spans="1:34" x14ac:dyDescent="0.2">
      <c r="A199" s="347">
        <f t="shared" ca="1" si="93"/>
        <v>0.01</v>
      </c>
      <c r="B199" s="304">
        <f t="shared" ca="1" si="94"/>
        <v>1.9500000000000015</v>
      </c>
      <c r="D199" s="306">
        <f t="shared" ca="1" si="95"/>
        <v>7.6107780734399508</v>
      </c>
      <c r="E199" s="307">
        <f t="shared" ca="1" si="96"/>
        <v>61.640664137605228</v>
      </c>
      <c r="F199" s="304">
        <f t="shared" ca="1" si="97"/>
        <v>62.108738662189928</v>
      </c>
      <c r="G199" s="306">
        <f t="shared" ca="1" si="98"/>
        <v>17.139027091177354</v>
      </c>
      <c r="H199" s="307">
        <f t="shared" ca="1" si="99"/>
        <v>160.80461671573417</v>
      </c>
      <c r="I199" s="304">
        <f t="shared" ca="1" si="100"/>
        <v>161.71540126631811</v>
      </c>
      <c r="J199" s="306">
        <f t="shared" ca="1" si="101"/>
        <v>16.878888605539011</v>
      </c>
      <c r="K199" s="307">
        <f t="shared" ca="1" si="102"/>
        <v>167.20031793887486</v>
      </c>
      <c r="L199" s="304">
        <f t="shared" ca="1" si="87"/>
        <v>168.05012109314004</v>
      </c>
      <c r="M199" s="306">
        <f t="shared" ca="1" si="103"/>
        <v>1.4646142599951277</v>
      </c>
      <c r="N199" s="304">
        <f t="shared" ca="1" si="104"/>
        <v>83.916215712397062</v>
      </c>
      <c r="P199" s="310">
        <f t="shared" ca="1" si="105"/>
        <v>5</v>
      </c>
      <c r="Q199" s="304">
        <f t="shared" ca="1" si="106"/>
        <v>594.02999999999975</v>
      </c>
      <c r="R199" s="306">
        <f t="shared" ca="1" si="107"/>
        <v>0.29811598012019203</v>
      </c>
      <c r="S199" s="307">
        <f t="shared" ca="1" si="108"/>
        <v>7.17321252860273</v>
      </c>
      <c r="T199" s="304">
        <f t="shared" ca="1" si="88"/>
        <v>70.369214905592784</v>
      </c>
      <c r="U199" s="311">
        <f t="shared" ca="1" si="89"/>
        <v>0</v>
      </c>
      <c r="V199" s="306">
        <f t="shared" ca="1" si="90"/>
        <v>1.2046877716047744</v>
      </c>
      <c r="W199" s="304">
        <f t="shared" ca="1" si="91"/>
        <v>79.194238359134573</v>
      </c>
      <c r="Y199" s="314" t="str">
        <f t="shared" ca="1" si="109"/>
        <v/>
      </c>
      <c r="Z199" s="315" t="str">
        <f t="shared" ca="1" si="110"/>
        <v/>
      </c>
      <c r="AA199" s="316" t="str">
        <f t="shared" ca="1" si="111"/>
        <v/>
      </c>
      <c r="AC199" s="310" t="e">
        <f t="shared" ca="1" si="112"/>
        <v>#N/A</v>
      </c>
      <c r="AD199" s="323" t="e">
        <f t="shared" ca="1" si="113"/>
        <v>#N/A</v>
      </c>
      <c r="AE199" s="324">
        <f t="shared" ca="1" si="92"/>
        <v>167.20031793887486</v>
      </c>
      <c r="AG199" s="306">
        <f t="shared" ca="1" si="114"/>
        <v>62.10004642667149</v>
      </c>
      <c r="AH199" s="304">
        <f t="shared" ca="1" si="115"/>
        <v>71.854863082383091</v>
      </c>
    </row>
    <row r="200" spans="1:34" x14ac:dyDescent="0.2">
      <c r="A200" s="347">
        <f t="shared" ca="1" si="93"/>
        <v>0.01</v>
      </c>
      <c r="B200" s="304">
        <f t="shared" ca="1" si="94"/>
        <v>1.9600000000000015</v>
      </c>
      <c r="D200" s="306">
        <f t="shared" ca="1" si="95"/>
        <v>7.5881608668153167</v>
      </c>
      <c r="E200" s="307">
        <f t="shared" ca="1" si="96"/>
        <v>61.384898827932787</v>
      </c>
      <c r="F200" s="304">
        <f t="shared" ca="1" si="97"/>
        <v>61.852130031682911</v>
      </c>
      <c r="G200" s="306">
        <f t="shared" ca="1" si="98"/>
        <v>17.214908699845509</v>
      </c>
      <c r="H200" s="307">
        <f t="shared" ca="1" si="99"/>
        <v>161.4184657040135</v>
      </c>
      <c r="I200" s="304">
        <f t="shared" ca="1" si="100"/>
        <v>162.33383551121375</v>
      </c>
      <c r="J200" s="306">
        <f t="shared" ca="1" si="101"/>
        <v>17.050658284494126</v>
      </c>
      <c r="K200" s="307">
        <f t="shared" ca="1" si="102"/>
        <v>168.8114333509736</v>
      </c>
      <c r="L200" s="304">
        <f t="shared" ca="1" si="87"/>
        <v>169.67034206939289</v>
      </c>
      <c r="M200" s="306">
        <f t="shared" ca="1" si="103"/>
        <v>1.4645502135926449</v>
      </c>
      <c r="N200" s="304">
        <f t="shared" ca="1" si="104"/>
        <v>83.912546123841807</v>
      </c>
      <c r="P200" s="310">
        <f t="shared" ca="1" si="105"/>
        <v>5</v>
      </c>
      <c r="Q200" s="304">
        <f t="shared" ca="1" si="106"/>
        <v>592.56999999999971</v>
      </c>
      <c r="R200" s="306">
        <f t="shared" ca="1" si="107"/>
        <v>0.29738327414410415</v>
      </c>
      <c r="S200" s="307">
        <f t="shared" ca="1" si="108"/>
        <v>7.1702386958612889</v>
      </c>
      <c r="T200" s="304">
        <f t="shared" ca="1" si="88"/>
        <v>70.340041606399254</v>
      </c>
      <c r="U200" s="311">
        <f t="shared" ca="1" si="89"/>
        <v>0</v>
      </c>
      <c r="V200" s="306">
        <f t="shared" ca="1" si="90"/>
        <v>1.2044936844406222</v>
      </c>
      <c r="W200" s="304">
        <f t="shared" ca="1" si="91"/>
        <v>79.788251167598773</v>
      </c>
      <c r="Y200" s="314" t="str">
        <f t="shared" ca="1" si="109"/>
        <v/>
      </c>
      <c r="Z200" s="315" t="str">
        <f t="shared" ca="1" si="110"/>
        <v/>
      </c>
      <c r="AA200" s="316" t="str">
        <f t="shared" ca="1" si="111"/>
        <v/>
      </c>
      <c r="AC200" s="310" t="e">
        <f t="shared" ca="1" si="112"/>
        <v>#N/A</v>
      </c>
      <c r="AD200" s="323" t="e">
        <f t="shared" ca="1" si="113"/>
        <v>#N/A</v>
      </c>
      <c r="AE200" s="324">
        <f t="shared" ca="1" si="92"/>
        <v>168.8114333509736</v>
      </c>
      <c r="AG200" s="306">
        <f t="shared" ca="1" si="114"/>
        <v>61.84339119536547</v>
      </c>
      <c r="AH200" s="304">
        <f t="shared" ca="1" si="115"/>
        <v>71.598141068468067</v>
      </c>
    </row>
    <row r="201" spans="1:34" x14ac:dyDescent="0.2">
      <c r="A201" s="347">
        <f t="shared" ca="1" si="93"/>
        <v>0.01</v>
      </c>
      <c r="B201" s="304">
        <f t="shared" ca="1" si="94"/>
        <v>1.9700000000000015</v>
      </c>
      <c r="D201" s="306">
        <f t="shared" ca="1" si="95"/>
        <v>7.5654722302109736</v>
      </c>
      <c r="E201" s="307">
        <f t="shared" ca="1" si="96"/>
        <v>61.128913532427617</v>
      </c>
      <c r="F201" s="304">
        <f t="shared" ca="1" si="97"/>
        <v>61.595295597319002</v>
      </c>
      <c r="G201" s="306">
        <f t="shared" ca="1" si="98"/>
        <v>17.290563422147617</v>
      </c>
      <c r="H201" s="307">
        <f t="shared" ca="1" si="99"/>
        <v>162.02975483933778</v>
      </c>
      <c r="I201" s="304">
        <f t="shared" ca="1" si="100"/>
        <v>162.94970094096894</v>
      </c>
      <c r="J201" s="306">
        <f t="shared" ca="1" si="101"/>
        <v>17.223185645104092</v>
      </c>
      <c r="K201" s="307">
        <f t="shared" ca="1" si="102"/>
        <v>170.42867445369035</v>
      </c>
      <c r="L201" s="304">
        <f t="shared" ca="1" si="87"/>
        <v>171.29673435243208</v>
      </c>
      <c r="M201" s="306">
        <f t="shared" ca="1" si="103"/>
        <v>1.464486370912047</v>
      </c>
      <c r="N201" s="304">
        <f t="shared" ca="1" si="104"/>
        <v>83.908888207690751</v>
      </c>
      <c r="P201" s="310">
        <f t="shared" ca="1" si="105"/>
        <v>5</v>
      </c>
      <c r="Q201" s="304">
        <f t="shared" ca="1" si="106"/>
        <v>591.10999999999979</v>
      </c>
      <c r="R201" s="306">
        <f t="shared" ca="1" si="107"/>
        <v>0.29665056816801633</v>
      </c>
      <c r="S201" s="307">
        <f t="shared" ca="1" si="108"/>
        <v>7.1672721901796086</v>
      </c>
      <c r="T201" s="304">
        <f t="shared" ca="1" si="88"/>
        <v>70.310940185661963</v>
      </c>
      <c r="U201" s="311">
        <f t="shared" ca="1" si="89"/>
        <v>0</v>
      </c>
      <c r="V201" s="306">
        <f t="shared" ca="1" si="90"/>
        <v>1.2042988905119119</v>
      </c>
      <c r="W201" s="304">
        <f t="shared" ca="1" si="91"/>
        <v>80.381802506482757</v>
      </c>
      <c r="Y201" s="314" t="str">
        <f t="shared" ca="1" si="109"/>
        <v/>
      </c>
      <c r="Z201" s="315" t="str">
        <f t="shared" ca="1" si="110"/>
        <v/>
      </c>
      <c r="AA201" s="316" t="str">
        <f t="shared" ca="1" si="111"/>
        <v/>
      </c>
      <c r="AC201" s="310" t="e">
        <f t="shared" ca="1" si="112"/>
        <v>#N/A</v>
      </c>
      <c r="AD201" s="323" t="e">
        <f t="shared" ca="1" si="113"/>
        <v>#N/A</v>
      </c>
      <c r="AE201" s="324">
        <f t="shared" ca="1" si="92"/>
        <v>170.42867445369035</v>
      </c>
      <c r="AG201" s="306">
        <f t="shared" ca="1" si="114"/>
        <v>61.586509767284213</v>
      </c>
      <c r="AH201" s="304">
        <f t="shared" ca="1" si="115"/>
        <v>71.341193031987743</v>
      </c>
    </row>
    <row r="202" spans="1:34" x14ac:dyDescent="0.2">
      <c r="A202" s="347">
        <f t="shared" ca="1" si="93"/>
        <v>0.01</v>
      </c>
      <c r="B202" s="304">
        <f t="shared" ca="1" si="94"/>
        <v>1.9800000000000015</v>
      </c>
      <c r="D202" s="306">
        <f t="shared" ca="1" si="95"/>
        <v>7.5427129771695594</v>
      </c>
      <c r="E202" s="307">
        <f t="shared" ca="1" si="96"/>
        <v>60.872713146803676</v>
      </c>
      <c r="F202" s="304">
        <f t="shared" ca="1" si="97"/>
        <v>61.338240314741725</v>
      </c>
      <c r="G202" s="306">
        <f t="shared" ca="1" si="98"/>
        <v>17.365990551919314</v>
      </c>
      <c r="H202" s="307">
        <f t="shared" ca="1" si="99"/>
        <v>162.63848197080583</v>
      </c>
      <c r="I202" s="304">
        <f t="shared" ca="1" si="100"/>
        <v>163.5629953431322</v>
      </c>
      <c r="J202" s="306">
        <f t="shared" ca="1" si="101"/>
        <v>17.396468414974425</v>
      </c>
      <c r="K202" s="307">
        <f t="shared" ca="1" si="102"/>
        <v>172.05201563774108</v>
      </c>
      <c r="L202" s="304">
        <f t="shared" ca="1" si="87"/>
        <v>172.92927224250585</v>
      </c>
      <c r="M202" s="306">
        <f t="shared" ca="1" si="103"/>
        <v>1.4644227295406052</v>
      </c>
      <c r="N202" s="304">
        <f t="shared" ca="1" si="104"/>
        <v>83.905241825704707</v>
      </c>
      <c r="P202" s="310">
        <f t="shared" ca="1" si="105"/>
        <v>5</v>
      </c>
      <c r="Q202" s="304">
        <f t="shared" ca="1" si="106"/>
        <v>589.64999999999975</v>
      </c>
      <c r="R202" s="306">
        <f t="shared" ca="1" si="107"/>
        <v>0.29591786219192839</v>
      </c>
      <c r="S202" s="307">
        <f t="shared" ca="1" si="108"/>
        <v>7.164313011557689</v>
      </c>
      <c r="T202" s="304">
        <f t="shared" ca="1" si="88"/>
        <v>70.281910643380925</v>
      </c>
      <c r="U202" s="311">
        <f t="shared" ca="1" si="89"/>
        <v>0</v>
      </c>
      <c r="V202" s="306">
        <f t="shared" ca="1" si="90"/>
        <v>1.2041033932499434</v>
      </c>
      <c r="W202" s="304">
        <f t="shared" ca="1" si="91"/>
        <v>80.974860723377148</v>
      </c>
      <c r="Y202" s="314" t="str">
        <f t="shared" ca="1" si="109"/>
        <v/>
      </c>
      <c r="Z202" s="315" t="str">
        <f t="shared" ca="1" si="110"/>
        <v/>
      </c>
      <c r="AA202" s="316" t="str">
        <f t="shared" ca="1" si="111"/>
        <v/>
      </c>
      <c r="AC202" s="310" t="e">
        <f t="shared" ca="1" si="112"/>
        <v>#N/A</v>
      </c>
      <c r="AD202" s="323" t="e">
        <f t="shared" ca="1" si="113"/>
        <v>#N/A</v>
      </c>
      <c r="AE202" s="324">
        <f t="shared" ca="1" si="92"/>
        <v>172.05201563774108</v>
      </c>
      <c r="AG202" s="306">
        <f t="shared" ca="1" si="114"/>
        <v>61.329407092984361</v>
      </c>
      <c r="AH202" s="304">
        <f t="shared" ca="1" si="115"/>
        <v>71.084023921337604</v>
      </c>
    </row>
    <row r="203" spans="1:34" x14ac:dyDescent="0.2">
      <c r="A203" s="347">
        <f t="shared" ca="1" si="93"/>
        <v>0.01</v>
      </c>
      <c r="B203" s="304">
        <f t="shared" ca="1" si="94"/>
        <v>1.9900000000000015</v>
      </c>
      <c r="D203" s="306">
        <f t="shared" ca="1" si="95"/>
        <v>7.5198839163883529</v>
      </c>
      <c r="E203" s="307">
        <f t="shared" ca="1" si="96"/>
        <v>60.616302553925351</v>
      </c>
      <c r="F203" s="304">
        <f t="shared" ca="1" si="97"/>
        <v>61.080969126438831</v>
      </c>
      <c r="G203" s="306">
        <f t="shared" ca="1" si="98"/>
        <v>17.441189391083196</v>
      </c>
      <c r="H203" s="307">
        <f t="shared" ca="1" si="99"/>
        <v>163.24464499634507</v>
      </c>
      <c r="I203" s="304">
        <f t="shared" ca="1" si="100"/>
        <v>164.17371655462503</v>
      </c>
      <c r="J203" s="306">
        <f t="shared" ca="1" si="101"/>
        <v>17.570504314689437</v>
      </c>
      <c r="K203" s="307">
        <f t="shared" ca="1" si="102"/>
        <v>173.68143127257684</v>
      </c>
      <c r="L203" s="304">
        <f t="shared" ca="1" si="87"/>
        <v>174.56793001798283</v>
      </c>
      <c r="M203" s="306">
        <f t="shared" ca="1" si="103"/>
        <v>1.4643592870998168</v>
      </c>
      <c r="N203" s="304">
        <f t="shared" ca="1" si="104"/>
        <v>83.901606841605513</v>
      </c>
      <c r="P203" s="310">
        <f t="shared" ca="1" si="105"/>
        <v>5</v>
      </c>
      <c r="Q203" s="304">
        <f t="shared" ca="1" si="106"/>
        <v>588.18999999999971</v>
      </c>
      <c r="R203" s="306">
        <f t="shared" ca="1" si="107"/>
        <v>0.29518515621584052</v>
      </c>
      <c r="S203" s="307">
        <f t="shared" ca="1" si="108"/>
        <v>7.1613611599955309</v>
      </c>
      <c r="T203" s="304">
        <f t="shared" ca="1" si="88"/>
        <v>70.252952979556156</v>
      </c>
      <c r="U203" s="311">
        <f t="shared" ca="1" si="89"/>
        <v>0</v>
      </c>
      <c r="V203" s="306">
        <f t="shared" ca="1" si="90"/>
        <v>1.203907196087761</v>
      </c>
      <c r="W203" s="304">
        <f t="shared" ca="1" si="91"/>
        <v>81.567394329988019</v>
      </c>
      <c r="Y203" s="314" t="str">
        <f t="shared" ca="1" si="109"/>
        <v/>
      </c>
      <c r="Z203" s="315" t="str">
        <f t="shared" ca="1" si="110"/>
        <v/>
      </c>
      <c r="AA203" s="316" t="str">
        <f t="shared" ca="1" si="111"/>
        <v/>
      </c>
      <c r="AC203" s="310" t="e">
        <f t="shared" ca="1" si="112"/>
        <v>#N/A</v>
      </c>
      <c r="AD203" s="323" t="e">
        <f t="shared" ca="1" si="113"/>
        <v>#N/A</v>
      </c>
      <c r="AE203" s="324">
        <f t="shared" ca="1" si="92"/>
        <v>173.68143127257684</v>
      </c>
      <c r="AG203" s="306">
        <f t="shared" ca="1" si="114"/>
        <v>61.072088109790542</v>
      </c>
      <c r="AH203" s="304">
        <f t="shared" ca="1" si="115"/>
        <v>70.826638671710157</v>
      </c>
    </row>
    <row r="204" spans="1:34" x14ac:dyDescent="0.2">
      <c r="A204" s="347">
        <f t="shared" ca="1" si="93"/>
        <v>0.01</v>
      </c>
      <c r="B204" s="304">
        <f t="shared" ca="1" si="94"/>
        <v>2.0000000000000013</v>
      </c>
      <c r="D204" s="306">
        <f t="shared" ca="1" si="95"/>
        <v>7.4969858517675672</v>
      </c>
      <c r="E204" s="307">
        <f t="shared" ca="1" si="96"/>
        <v>60.359686623557238</v>
      </c>
      <c r="F204" s="304">
        <f t="shared" ca="1" si="97"/>
        <v>60.823486961498986</v>
      </c>
      <c r="G204" s="306">
        <f t="shared" ca="1" si="98"/>
        <v>17.516159249600872</v>
      </c>
      <c r="H204" s="307">
        <f t="shared" ca="1" si="99"/>
        <v>163.84824186258064</v>
      </c>
      <c r="I204" s="304">
        <f t="shared" ca="1" si="100"/>
        <v>164.7818624616074</v>
      </c>
      <c r="J204" s="306">
        <f t="shared" ca="1" si="101"/>
        <v>17.745291057892857</v>
      </c>
      <c r="K204" s="307">
        <f t="shared" ca="1" si="102"/>
        <v>175.31689570687146</v>
      </c>
      <c r="L204" s="304">
        <f t="shared" ca="1" si="87"/>
        <v>176.2126819358453</v>
      </c>
      <c r="M204" s="306">
        <f t="shared" ca="1" si="103"/>
        <v>1.4642960412447219</v>
      </c>
      <c r="N204" s="304">
        <f t="shared" ca="1" si="104"/>
        <v>83.897983121036887</v>
      </c>
      <c r="P204" s="310">
        <f t="shared" ca="1" si="105"/>
        <v>5</v>
      </c>
      <c r="Q204" s="304">
        <f t="shared" ca="1" si="106"/>
        <v>586.72999999999979</v>
      </c>
      <c r="R204" s="306">
        <f t="shared" ca="1" si="107"/>
        <v>0.29445245023975269</v>
      </c>
      <c r="S204" s="307">
        <f t="shared" ca="1" si="108"/>
        <v>7.1584166354931336</v>
      </c>
      <c r="T204" s="304">
        <f t="shared" ca="1" si="88"/>
        <v>70.22406719418764</v>
      </c>
      <c r="U204" s="311">
        <f t="shared" ca="1" si="89"/>
        <v>0</v>
      </c>
      <c r="V204" s="306">
        <f t="shared" ca="1" si="90"/>
        <v>1.2037103024600704</v>
      </c>
      <c r="W204" s="304">
        <f t="shared" ca="1" si="91"/>
        <v>82.159372003315681</v>
      </c>
      <c r="Y204" s="314" t="str">
        <f t="shared" ca="1" si="109"/>
        <v/>
      </c>
      <c r="Z204" s="315" t="str">
        <f t="shared" ca="1" si="110"/>
        <v/>
      </c>
      <c r="AA204" s="316" t="str">
        <f t="shared" ca="1" si="111"/>
        <v/>
      </c>
      <c r="AC204" s="310">
        <f t="shared" ca="1" si="112"/>
        <v>2.0000000000000013</v>
      </c>
      <c r="AD204" s="323">
        <f t="shared" ca="1" si="113"/>
        <v>17.745291057892857</v>
      </c>
      <c r="AE204" s="324">
        <f t="shared" ca="1" si="92"/>
        <v>175.31689570687146</v>
      </c>
      <c r="AG204" s="306">
        <f t="shared" ca="1" si="114"/>
        <v>60.814557741550502</v>
      </c>
      <c r="AH204" s="304">
        <f t="shared" ca="1" si="115"/>
        <v>70.569042204849509</v>
      </c>
    </row>
    <row r="205" spans="1:34" x14ac:dyDescent="0.2">
      <c r="A205" s="347">
        <f t="shared" ca="1" si="93"/>
        <v>0.01</v>
      </c>
      <c r="B205" s="304">
        <f t="shared" ca="1" si="94"/>
        <v>2.0100000000000011</v>
      </c>
      <c r="D205" s="306">
        <f t="shared" ca="1" si="95"/>
        <v>7.4740195824572062</v>
      </c>
      <c r="E205" s="307">
        <f t="shared" ca="1" si="96"/>
        <v>60.102870212116699</v>
      </c>
      <c r="F205" s="304">
        <f t="shared" ca="1" si="97"/>
        <v>60.56579873537126</v>
      </c>
      <c r="G205" s="306">
        <f t="shared" ca="1" si="98"/>
        <v>17.590899445425443</v>
      </c>
      <c r="H205" s="307">
        <f t="shared" ca="1" si="99"/>
        <v>164.44927056470181</v>
      </c>
      <c r="I205" s="304">
        <f t="shared" ca="1" si="100"/>
        <v>165.38743099934035</v>
      </c>
      <c r="J205" s="306">
        <f t="shared" ca="1" si="101"/>
        <v>17.920826351367989</v>
      </c>
      <c r="K205" s="307">
        <f t="shared" ca="1" si="102"/>
        <v>176.95838326900787</v>
      </c>
      <c r="L205" s="304">
        <f t="shared" ca="1" si="87"/>
        <v>177.86350223218076</v>
      </c>
      <c r="M205" s="306">
        <f t="shared" ca="1" si="103"/>
        <v>1.46423298966324</v>
      </c>
      <c r="N205" s="304">
        <f t="shared" ca="1" si="104"/>
        <v>83.894370531526349</v>
      </c>
      <c r="P205" s="310">
        <f t="shared" ca="1" si="105"/>
        <v>6</v>
      </c>
      <c r="Q205" s="304">
        <f t="shared" ca="1" si="106"/>
        <v>585.26999999999987</v>
      </c>
      <c r="R205" s="306">
        <f t="shared" ca="1" si="107"/>
        <v>0.29371974426366482</v>
      </c>
      <c r="S205" s="307">
        <f t="shared" ca="1" si="108"/>
        <v>7.1554794380504969</v>
      </c>
      <c r="T205" s="304">
        <f t="shared" ca="1" si="88"/>
        <v>70.195253287275378</v>
      </c>
      <c r="U205" s="311">
        <f t="shared" ca="1" si="89"/>
        <v>0</v>
      </c>
      <c r="V205" s="306">
        <f t="shared" ca="1" si="90"/>
        <v>1.2035127158031622</v>
      </c>
      <c r="W205" s="304">
        <f t="shared" ca="1" si="91"/>
        <v>82.750762586812542</v>
      </c>
      <c r="Y205" s="314" t="str">
        <f t="shared" ca="1" si="109"/>
        <v/>
      </c>
      <c r="Z205" s="315" t="str">
        <f t="shared" ca="1" si="110"/>
        <v/>
      </c>
      <c r="AA205" s="316" t="str">
        <f t="shared" ca="1" si="111"/>
        <v/>
      </c>
      <c r="AC205" s="310" t="e">
        <f t="shared" ca="1" si="112"/>
        <v>#N/A</v>
      </c>
      <c r="AD205" s="323" t="e">
        <f t="shared" ca="1" si="113"/>
        <v>#N/A</v>
      </c>
      <c r="AE205" s="324">
        <f t="shared" ca="1" si="92"/>
        <v>176.95838326900787</v>
      </c>
      <c r="AG205" s="306">
        <f t="shared" ca="1" si="114"/>
        <v>60.556820898392736</v>
      </c>
      <c r="AH205" s="304">
        <f t="shared" ca="1" si="115"/>
        <v>70.311239428808449</v>
      </c>
    </row>
    <row r="206" spans="1:34" x14ac:dyDescent="0.2">
      <c r="A206" s="347">
        <f t="shared" ca="1" si="93"/>
        <v>0.01</v>
      </c>
      <c r="B206" s="304">
        <f t="shared" ca="1" si="94"/>
        <v>2.0200000000000009</v>
      </c>
      <c r="D206" s="306">
        <f t="shared" ca="1" si="95"/>
        <v>7.4509859029019676</v>
      </c>
      <c r="E206" s="307">
        <f t="shared" ca="1" si="96"/>
        <v>59.845858162428996</v>
      </c>
      <c r="F206" s="304">
        <f t="shared" ca="1" si="97"/>
        <v>60.307909349626883</v>
      </c>
      <c r="G206" s="306">
        <f t="shared" ca="1" si="98"/>
        <v>17.665409304454464</v>
      </c>
      <c r="H206" s="307">
        <f t="shared" ca="1" si="99"/>
        <v>165.04772914632611</v>
      </c>
      <c r="I206" s="304">
        <f t="shared" ca="1" si="100"/>
        <v>165.99042015204651</v>
      </c>
      <c r="J206" s="306">
        <f t="shared" ca="1" si="101"/>
        <v>18.097107895117389</v>
      </c>
      <c r="K206" s="307">
        <f t="shared" ca="1" si="102"/>
        <v>178.60586826756301</v>
      </c>
      <c r="L206" s="304">
        <f t="shared" ca="1" si="87"/>
        <v>179.52036512267233</v>
      </c>
      <c r="M206" s="306">
        <f t="shared" ca="1" si="103"/>
        <v>1.4641701300755205</v>
      </c>
      <c r="N206" s="304">
        <f t="shared" ca="1" si="104"/>
        <v>83.890768942448091</v>
      </c>
      <c r="P206" s="310">
        <f t="shared" ca="1" si="105"/>
        <v>6</v>
      </c>
      <c r="Q206" s="304">
        <f t="shared" ca="1" si="106"/>
        <v>583.80999999999983</v>
      </c>
      <c r="R206" s="306">
        <f t="shared" ca="1" si="107"/>
        <v>0.29298703828757694</v>
      </c>
      <c r="S206" s="307">
        <f t="shared" ca="1" si="108"/>
        <v>7.152549567667621</v>
      </c>
      <c r="T206" s="304">
        <f t="shared" ca="1" si="88"/>
        <v>70.166511258819369</v>
      </c>
      <c r="U206" s="311">
        <f t="shared" ca="1" si="89"/>
        <v>0</v>
      </c>
      <c r="V206" s="306">
        <f t="shared" ca="1" si="90"/>
        <v>1.2033144395548323</v>
      </c>
      <c r="W206" s="304">
        <f t="shared" ca="1" si="91"/>
        <v>83.341535091520072</v>
      </c>
      <c r="Y206" s="314" t="str">
        <f t="shared" ca="1" si="109"/>
        <v/>
      </c>
      <c r="Z206" s="315" t="str">
        <f t="shared" ca="1" si="110"/>
        <v/>
      </c>
      <c r="AA206" s="316" t="str">
        <f t="shared" ca="1" si="111"/>
        <v/>
      </c>
      <c r="AC206" s="310" t="e">
        <f t="shared" ca="1" si="112"/>
        <v>#N/A</v>
      </c>
      <c r="AD206" s="323" t="e">
        <f t="shared" ca="1" si="113"/>
        <v>#N/A</v>
      </c>
      <c r="AE206" s="324">
        <f t="shared" ca="1" si="92"/>
        <v>178.60586826756301</v>
      </c>
      <c r="AG206" s="306">
        <f t="shared" ca="1" si="114"/>
        <v>60.298882476486739</v>
      </c>
      <c r="AH206" s="304">
        <f t="shared" ca="1" si="115"/>
        <v>70.053235237708108</v>
      </c>
    </row>
    <row r="207" spans="1:34" x14ac:dyDescent="0.2">
      <c r="A207" s="347">
        <f t="shared" ca="1" si="93"/>
        <v>0.01</v>
      </c>
      <c r="B207" s="304">
        <f t="shared" ca="1" si="94"/>
        <v>2.0300000000000007</v>
      </c>
      <c r="D207" s="306">
        <f t="shared" ca="1" si="95"/>
        <v>7.4278856028847589</v>
      </c>
      <c r="E207" s="307">
        <f t="shared" ca="1" si="96"/>
        <v>59.588655303485325</v>
      </c>
      <c r="F207" s="304">
        <f t="shared" ca="1" si="97"/>
        <v>60.049823691723958</v>
      </c>
      <c r="G207" s="306">
        <f t="shared" ca="1" si="98"/>
        <v>17.739688160483311</v>
      </c>
      <c r="H207" s="307">
        <f t="shared" ca="1" si="99"/>
        <v>165.64361569936096</v>
      </c>
      <c r="I207" s="304">
        <f t="shared" ca="1" si="100"/>
        <v>166.59082795276808</v>
      </c>
      <c r="J207" s="306">
        <f t="shared" ca="1" si="101"/>
        <v>18.274133382442077</v>
      </c>
      <c r="K207" s="307">
        <f t="shared" ca="1" si="102"/>
        <v>180.25932499179146</v>
      </c>
      <c r="L207" s="304">
        <f t="shared" ca="1" si="87"/>
        <v>181.1832448030876</v>
      </c>
      <c r="M207" s="306">
        <f t="shared" ca="1" si="103"/>
        <v>1.4641074602333108</v>
      </c>
      <c r="N207" s="304">
        <f t="shared" ca="1" si="104"/>
        <v>83.887178224986727</v>
      </c>
      <c r="P207" s="310">
        <f t="shared" ca="1" si="105"/>
        <v>6</v>
      </c>
      <c r="Q207" s="304">
        <f t="shared" ca="1" si="106"/>
        <v>582.34999999999991</v>
      </c>
      <c r="R207" s="306">
        <f t="shared" ca="1" si="107"/>
        <v>0.29225433231148912</v>
      </c>
      <c r="S207" s="307">
        <f t="shared" ca="1" si="108"/>
        <v>7.1496270243445057</v>
      </c>
      <c r="T207" s="304">
        <f t="shared" ca="1" si="88"/>
        <v>70.1378411088196</v>
      </c>
      <c r="U207" s="311">
        <f t="shared" ca="1" si="89"/>
        <v>0</v>
      </c>
      <c r="V207" s="306">
        <f t="shared" ca="1" si="90"/>
        <v>1.2031154771543022</v>
      </c>
      <c r="W207" s="304">
        <f t="shared" ca="1" si="91"/>
        <v>83.931658697184702</v>
      </c>
      <c r="Y207" s="314" t="str">
        <f t="shared" ca="1" si="109"/>
        <v/>
      </c>
      <c r="Z207" s="315" t="str">
        <f t="shared" ca="1" si="110"/>
        <v/>
      </c>
      <c r="AA207" s="316" t="str">
        <f t="shared" ca="1" si="111"/>
        <v/>
      </c>
      <c r="AC207" s="310" t="e">
        <f t="shared" ca="1" si="112"/>
        <v>#N/A</v>
      </c>
      <c r="AD207" s="323" t="e">
        <f t="shared" ca="1" si="113"/>
        <v>#N/A</v>
      </c>
      <c r="AE207" s="324">
        <f t="shared" ca="1" si="92"/>
        <v>180.25932499179146</v>
      </c>
      <c r="AG207" s="306">
        <f t="shared" ca="1" si="114"/>
        <v>60.040747357805785</v>
      </c>
      <c r="AH207" s="304">
        <f t="shared" ca="1" si="115"/>
        <v>69.795034511500276</v>
      </c>
    </row>
    <row r="208" spans="1:34" x14ac:dyDescent="0.2">
      <c r="A208" s="347">
        <f t="shared" ca="1" si="93"/>
        <v>0.01</v>
      </c>
      <c r="B208" s="304">
        <f t="shared" ca="1" si="94"/>
        <v>2.0400000000000005</v>
      </c>
      <c r="D208" s="306">
        <f t="shared" ca="1" si="95"/>
        <v>7.4047194675685066</v>
      </c>
      <c r="E208" s="307">
        <f t="shared" ca="1" si="96"/>
        <v>59.331266450203287</v>
      </c>
      <c r="F208" s="304">
        <f t="shared" ca="1" si="97"/>
        <v>59.791546634774434</v>
      </c>
      <c r="G208" s="306">
        <f t="shared" ca="1" si="98"/>
        <v>17.813735355158997</v>
      </c>
      <c r="H208" s="307">
        <f t="shared" ca="1" si="99"/>
        <v>166.236928363863</v>
      </c>
      <c r="I208" s="304">
        <f t="shared" ca="1" si="100"/>
        <v>167.18865248322257</v>
      </c>
      <c r="J208" s="306">
        <f t="shared" ca="1" si="101"/>
        <v>18.45190050002029</v>
      </c>
      <c r="K208" s="307">
        <f t="shared" ca="1" si="102"/>
        <v>181.91872771210757</v>
      </c>
      <c r="L208" s="304">
        <f t="shared" ca="1" si="87"/>
        <v>182.85211544976607</v>
      </c>
      <c r="M208" s="306">
        <f t="shared" ca="1" si="103"/>
        <v>1.4640449779193376</v>
      </c>
      <c r="N208" s="304">
        <f t="shared" ca="1" si="104"/>
        <v>83.883598252101848</v>
      </c>
      <c r="P208" s="310">
        <f t="shared" ca="1" si="105"/>
        <v>6</v>
      </c>
      <c r="Q208" s="304">
        <f t="shared" ca="1" si="106"/>
        <v>580.88999999999987</v>
      </c>
      <c r="R208" s="306">
        <f t="shared" ca="1" si="107"/>
        <v>0.29152162633540124</v>
      </c>
      <c r="S208" s="307">
        <f t="shared" ca="1" si="108"/>
        <v>7.146711808081152</v>
      </c>
      <c r="T208" s="304">
        <f t="shared" ca="1" si="88"/>
        <v>70.109242837276099</v>
      </c>
      <c r="U208" s="311">
        <f t="shared" ca="1" si="89"/>
        <v>0</v>
      </c>
      <c r="V208" s="306">
        <f t="shared" ca="1" si="90"/>
        <v>1.2029158320421405</v>
      </c>
      <c r="W208" s="304">
        <f t="shared" ca="1" si="91"/>
        <v>84.521102753352977</v>
      </c>
      <c r="Y208" s="314" t="str">
        <f t="shared" ca="1" si="109"/>
        <v/>
      </c>
      <c r="Z208" s="315" t="str">
        <f t="shared" ca="1" si="110"/>
        <v/>
      </c>
      <c r="AA208" s="316" t="str">
        <f t="shared" ca="1" si="111"/>
        <v/>
      </c>
      <c r="AC208" s="310" t="e">
        <f t="shared" ca="1" si="112"/>
        <v>#N/A</v>
      </c>
      <c r="AD208" s="323" t="e">
        <f t="shared" ca="1" si="113"/>
        <v>#N/A</v>
      </c>
      <c r="AE208" s="324">
        <f t="shared" ca="1" si="92"/>
        <v>181.91872771210757</v>
      </c>
      <c r="AG208" s="306">
        <f t="shared" ca="1" si="114"/>
        <v>59.782420409892119</v>
      </c>
      <c r="AH208" s="304">
        <f t="shared" ca="1" si="115"/>
        <v>69.536642115732022</v>
      </c>
    </row>
    <row r="209" spans="1:34" x14ac:dyDescent="0.2">
      <c r="A209" s="347">
        <f t="shared" ca="1" si="93"/>
        <v>0.01</v>
      </c>
      <c r="B209" s="304">
        <f t="shared" ca="1" si="94"/>
        <v>2.0500000000000003</v>
      </c>
      <c r="D209" s="306">
        <f t="shared" ca="1" si="95"/>
        <v>7.3814882775366275</v>
      </c>
      <c r="E209" s="307">
        <f t="shared" ca="1" si="96"/>
        <v>59.073696403190297</v>
      </c>
      <c r="F209" s="304">
        <f t="shared" ca="1" si="97"/>
        <v>59.533083037313872</v>
      </c>
      <c r="G209" s="306">
        <f t="shared" ca="1" si="98"/>
        <v>17.887550237934363</v>
      </c>
      <c r="H209" s="307">
        <f t="shared" ca="1" si="99"/>
        <v>166.82766532789489</v>
      </c>
      <c r="I209" s="304">
        <f t="shared" ca="1" si="100"/>
        <v>167.78389187365613</v>
      </c>
      <c r="J209" s="306">
        <f t="shared" ca="1" si="101"/>
        <v>18.630406927985756</v>
      </c>
      <c r="K209" s="307">
        <f t="shared" ca="1" si="102"/>
        <v>183.58405068056635</v>
      </c>
      <c r="L209" s="304">
        <f t="shared" ca="1" si="87"/>
        <v>184.52695122010522</v>
      </c>
      <c r="M209" s="306">
        <f t="shared" ca="1" si="103"/>
        <v>1.4639826809467054</v>
      </c>
      <c r="N209" s="304">
        <f t="shared" ca="1" si="104"/>
        <v>83.880028898493578</v>
      </c>
      <c r="P209" s="310">
        <f t="shared" ca="1" si="105"/>
        <v>6</v>
      </c>
      <c r="Q209" s="304">
        <f t="shared" ca="1" si="106"/>
        <v>579.42999999999995</v>
      </c>
      <c r="R209" s="306">
        <f t="shared" ca="1" si="107"/>
        <v>0.29078892035931336</v>
      </c>
      <c r="S209" s="307">
        <f t="shared" ca="1" si="108"/>
        <v>7.1438039188775591</v>
      </c>
      <c r="T209" s="304">
        <f t="shared" ca="1" si="88"/>
        <v>70.080716444188852</v>
      </c>
      <c r="U209" s="311">
        <f t="shared" ca="1" si="89"/>
        <v>0</v>
      </c>
      <c r="V209" s="306">
        <f t="shared" ca="1" si="90"/>
        <v>1.2027155076601859</v>
      </c>
      <c r="W209" s="304">
        <f t="shared" ca="1" si="91"/>
        <v>85.109836780445974</v>
      </c>
      <c r="Y209" s="314" t="str">
        <f t="shared" ca="1" si="109"/>
        <v/>
      </c>
      <c r="Z209" s="315" t="str">
        <f t="shared" ca="1" si="110"/>
        <v/>
      </c>
      <c r="AA209" s="316" t="str">
        <f t="shared" ca="1" si="111"/>
        <v/>
      </c>
      <c r="AC209" s="310" t="e">
        <f t="shared" ca="1" si="112"/>
        <v>#N/A</v>
      </c>
      <c r="AD209" s="323" t="e">
        <f t="shared" ca="1" si="113"/>
        <v>#N/A</v>
      </c>
      <c r="AE209" s="324">
        <f t="shared" ca="1" si="92"/>
        <v>183.58405068056635</v>
      </c>
      <c r="AG209" s="306">
        <f t="shared" ca="1" si="114"/>
        <v>59.523906485624927</v>
      </c>
      <c r="AH209" s="304">
        <f t="shared" ca="1" si="115"/>
        <v>69.278062901313163</v>
      </c>
    </row>
    <row r="210" spans="1:34" x14ac:dyDescent="0.2">
      <c r="A210" s="347">
        <f t="shared" ca="1" si="93"/>
        <v>0.01</v>
      </c>
      <c r="B210" s="304">
        <f t="shared" ca="1" si="94"/>
        <v>2.06</v>
      </c>
      <c r="D210" s="306">
        <f t="shared" ca="1" si="95"/>
        <v>7.3581928088318964</v>
      </c>
      <c r="E210" s="307">
        <f t="shared" ca="1" si="96"/>
        <v>58.815949948509399</v>
      </c>
      <c r="F210" s="304">
        <f t="shared" ca="1" si="97"/>
        <v>59.274437743073605</v>
      </c>
      <c r="G210" s="306">
        <f t="shared" ca="1" si="98"/>
        <v>17.961132166022683</v>
      </c>
      <c r="H210" s="307">
        <f t="shared" ca="1" si="99"/>
        <v>167.41582482737999</v>
      </c>
      <c r="I210" s="304">
        <f t="shared" ca="1" si="100"/>
        <v>168.37654430269473</v>
      </c>
      <c r="J210" s="306">
        <f t="shared" ca="1" si="101"/>
        <v>18.809650340005543</v>
      </c>
      <c r="K210" s="307">
        <f t="shared" ca="1" si="102"/>
        <v>185.25526813134272</v>
      </c>
      <c r="L210" s="304">
        <f t="shared" ca="1" si="87"/>
        <v>186.20772625304505</v>
      </c>
      <c r="M210" s="306">
        <f t="shared" ca="1" si="103"/>
        <v>1.4639205671583071</v>
      </c>
      <c r="N210" s="304">
        <f t="shared" ca="1" si="104"/>
        <v>83.87647004056879</v>
      </c>
      <c r="P210" s="310">
        <f t="shared" ca="1" si="105"/>
        <v>6</v>
      </c>
      <c r="Q210" s="304">
        <f t="shared" ca="1" si="106"/>
        <v>577.97</v>
      </c>
      <c r="R210" s="306">
        <f t="shared" ca="1" si="107"/>
        <v>0.29005621438322554</v>
      </c>
      <c r="S210" s="307">
        <f t="shared" ca="1" si="108"/>
        <v>7.1409033567337268</v>
      </c>
      <c r="T210" s="304">
        <f t="shared" ca="1" si="88"/>
        <v>70.052261929557858</v>
      </c>
      <c r="U210" s="311">
        <f t="shared" ca="1" si="89"/>
        <v>0</v>
      </c>
      <c r="V210" s="306">
        <f t="shared" ca="1" si="90"/>
        <v>1.2025145074514678</v>
      </c>
      <c r="W210" s="304">
        <f t="shared" ca="1" si="91"/>
        <v>85.697830470812605</v>
      </c>
      <c r="Y210" s="314" t="str">
        <f t="shared" ca="1" si="109"/>
        <v/>
      </c>
      <c r="Z210" s="315" t="str">
        <f t="shared" ca="1" si="110"/>
        <v/>
      </c>
      <c r="AA210" s="316" t="str">
        <f t="shared" ca="1" si="111"/>
        <v/>
      </c>
      <c r="AC210" s="310" t="e">
        <f t="shared" ca="1" si="112"/>
        <v>#N/A</v>
      </c>
      <c r="AD210" s="323" t="e">
        <f t="shared" ca="1" si="113"/>
        <v>#N/A</v>
      </c>
      <c r="AE210" s="324">
        <f t="shared" ca="1" si="92"/>
        <v>185.25526813134272</v>
      </c>
      <c r="AG210" s="306">
        <f t="shared" ca="1" si="114"/>
        <v>59.265210422990592</v>
      </c>
      <c r="AH210" s="304">
        <f t="shared" ca="1" si="115"/>
        <v>69.01930170428605</v>
      </c>
    </row>
    <row r="211" spans="1:34" x14ac:dyDescent="0.2">
      <c r="A211" s="347">
        <f t="shared" ca="1" si="93"/>
        <v>0.01</v>
      </c>
      <c r="B211" s="304">
        <f t="shared" ca="1" si="94"/>
        <v>2.0699999999999998</v>
      </c>
      <c r="D211" s="306">
        <f t="shared" ca="1" si="95"/>
        <v>7.3348338329940654</v>
      </c>
      <c r="E211" s="307">
        <f t="shared" ca="1" si="96"/>
        <v>58.5580318574481</v>
      </c>
      <c r="F211" s="304">
        <f t="shared" ca="1" si="97"/>
        <v>59.01561558075575</v>
      </c>
      <c r="G211" s="306">
        <f t="shared" ca="1" si="98"/>
        <v>18.034480504352622</v>
      </c>
      <c r="H211" s="307">
        <f t="shared" ca="1" si="99"/>
        <v>168.00140514595446</v>
      </c>
      <c r="I211" s="304">
        <f t="shared" ca="1" si="100"/>
        <v>168.96660799719277</v>
      </c>
      <c r="J211" s="306">
        <f t="shared" ca="1" si="101"/>
        <v>18.989628403357418</v>
      </c>
      <c r="K211" s="307">
        <f t="shared" ca="1" si="102"/>
        <v>186.9323542812094</v>
      </c>
      <c r="L211" s="304">
        <f t="shared" ca="1" si="87"/>
        <v>187.894414669551</v>
      </c>
      <c r="M211" s="306">
        <f t="shared" ca="1" si="103"/>
        <v>1.4638586344262514</v>
      </c>
      <c r="N211" s="304">
        <f t="shared" ca="1" si="104"/>
        <v>83.872921556408286</v>
      </c>
      <c r="P211" s="310">
        <f t="shared" ca="1" si="105"/>
        <v>6</v>
      </c>
      <c r="Q211" s="304">
        <f t="shared" ca="1" si="106"/>
        <v>576.51</v>
      </c>
      <c r="R211" s="306">
        <f t="shared" ca="1" si="107"/>
        <v>0.28932350840713766</v>
      </c>
      <c r="S211" s="307">
        <f t="shared" ca="1" si="108"/>
        <v>7.1380101216496552</v>
      </c>
      <c r="T211" s="304">
        <f t="shared" ca="1" si="88"/>
        <v>70.023879293383118</v>
      </c>
      <c r="U211" s="311">
        <f t="shared" ca="1" si="89"/>
        <v>0</v>
      </c>
      <c r="V211" s="306">
        <f t="shared" ca="1" si="90"/>
        <v>1.2023128348601302</v>
      </c>
      <c r="W211" s="304">
        <f t="shared" ca="1" si="91"/>
        <v>86.285053689762137</v>
      </c>
      <c r="Y211" s="314" t="str">
        <f t="shared" ca="1" si="109"/>
        <v/>
      </c>
      <c r="Z211" s="315" t="str">
        <f t="shared" ca="1" si="110"/>
        <v/>
      </c>
      <c r="AA211" s="316" t="str">
        <f t="shared" ca="1" si="111"/>
        <v/>
      </c>
      <c r="AC211" s="310" t="e">
        <f t="shared" ca="1" si="112"/>
        <v>#N/A</v>
      </c>
      <c r="AD211" s="323" t="e">
        <f t="shared" ca="1" si="113"/>
        <v>#N/A</v>
      </c>
      <c r="AE211" s="324">
        <f t="shared" ca="1" si="92"/>
        <v>186.9323542812094</v>
      </c>
      <c r="AG211" s="306">
        <f t="shared" ca="1" si="114"/>
        <v>59.006337044855748</v>
      </c>
      <c r="AH211" s="304">
        <f t="shared" ca="1" si="115"/>
        <v>68.760363345598122</v>
      </c>
    </row>
    <row r="212" spans="1:34" x14ac:dyDescent="0.2">
      <c r="A212" s="347">
        <f t="shared" ca="1" si="93"/>
        <v>0.01</v>
      </c>
      <c r="B212" s="304">
        <f t="shared" ca="1" si="94"/>
        <v>2.0799999999999996</v>
      </c>
      <c r="D212" s="306">
        <f t="shared" ca="1" si="95"/>
        <v>7.3114121170960074</v>
      </c>
      <c r="E212" s="307">
        <f t="shared" ca="1" si="96"/>
        <v>58.299946886289874</v>
      </c>
      <c r="F212" s="304">
        <f t="shared" ca="1" si="97"/>
        <v>58.756621363810893</v>
      </c>
      <c r="G212" s="306">
        <f t="shared" ca="1" si="98"/>
        <v>18.107594625523582</v>
      </c>
      <c r="H212" s="307">
        <f t="shared" ca="1" si="99"/>
        <v>168.58440461481737</v>
      </c>
      <c r="I212" s="304">
        <f t="shared" ca="1" si="100"/>
        <v>169.55408123207988</v>
      </c>
      <c r="J212" s="306">
        <f t="shared" ca="1" si="101"/>
        <v>19.170338779006798</v>
      </c>
      <c r="K212" s="307">
        <f t="shared" ca="1" si="102"/>
        <v>188.61528333001326</v>
      </c>
      <c r="L212" s="304">
        <f t="shared" ca="1" si="87"/>
        <v>189.58699057309568</v>
      </c>
      <c r="M212" s="306">
        <f t="shared" ca="1" si="103"/>
        <v>1.4637968806513011</v>
      </c>
      <c r="N212" s="304">
        <f t="shared" ca="1" si="104"/>
        <v>83.869383325734631</v>
      </c>
      <c r="P212" s="310">
        <f t="shared" ca="1" si="105"/>
        <v>6</v>
      </c>
      <c r="Q212" s="304">
        <f t="shared" ca="1" si="106"/>
        <v>575.05000000000007</v>
      </c>
      <c r="R212" s="306">
        <f t="shared" ca="1" si="107"/>
        <v>0.28859080243104984</v>
      </c>
      <c r="S212" s="307">
        <f t="shared" ca="1" si="108"/>
        <v>7.1351242136253443</v>
      </c>
      <c r="T212" s="304">
        <f t="shared" ca="1" si="88"/>
        <v>69.995568535664631</v>
      </c>
      <c r="U212" s="311">
        <f t="shared" ca="1" si="89"/>
        <v>0</v>
      </c>
      <c r="V212" s="306">
        <f t="shared" ca="1" si="90"/>
        <v>1.2021104933313529</v>
      </c>
      <c r="W212" s="304">
        <f t="shared" ca="1" si="91"/>
        <v>86.871476476576206</v>
      </c>
      <c r="Y212" s="314" t="str">
        <f t="shared" ca="1" si="109"/>
        <v/>
      </c>
      <c r="Z212" s="315" t="str">
        <f t="shared" ca="1" si="110"/>
        <v/>
      </c>
      <c r="AA212" s="316" t="str">
        <f t="shared" ca="1" si="111"/>
        <v/>
      </c>
      <c r="AC212" s="310" t="e">
        <f t="shared" ca="1" si="112"/>
        <v>#N/A</v>
      </c>
      <c r="AD212" s="323" t="e">
        <f t="shared" ca="1" si="113"/>
        <v>#N/A</v>
      </c>
      <c r="AE212" s="324">
        <f t="shared" ca="1" si="92"/>
        <v>188.61528333001326</v>
      </c>
      <c r="AG212" s="306">
        <f t="shared" ca="1" si="114"/>
        <v>58.747291158742932</v>
      </c>
      <c r="AH212" s="304">
        <f t="shared" ca="1" si="115"/>
        <v>68.50125263087709</v>
      </c>
    </row>
    <row r="213" spans="1:34" x14ac:dyDescent="0.2">
      <c r="A213" s="347">
        <f t="shared" ca="1" si="93"/>
        <v>0.01</v>
      </c>
      <c r="B213" s="304">
        <f t="shared" ca="1" si="94"/>
        <v>2.0899999999999994</v>
      </c>
      <c r="D213" s="306">
        <f t="shared" ca="1" si="95"/>
        <v>7.2879284237786646</v>
      </c>
      <c r="E213" s="307">
        <f t="shared" ca="1" si="96"/>
        <v>58.041699776087981</v>
      </c>
      <c r="F213" s="304">
        <f t="shared" ca="1" si="97"/>
        <v>58.497459890217904</v>
      </c>
      <c r="G213" s="306">
        <f t="shared" ca="1" si="98"/>
        <v>18.180473909761368</v>
      </c>
      <c r="H213" s="307">
        <f t="shared" ca="1" si="99"/>
        <v>169.16482161257827</v>
      </c>
      <c r="I213" s="304">
        <f t="shared" ca="1" si="100"/>
        <v>170.13896233020509</v>
      </c>
      <c r="J213" s="306">
        <f t="shared" ca="1" si="101"/>
        <v>19.351779121683222</v>
      </c>
      <c r="K213" s="307">
        <f t="shared" ca="1" si="102"/>
        <v>190.30402946115024</v>
      </c>
      <c r="L213" s="304">
        <f t="shared" ca="1" si="87"/>
        <v>191.28542805013862</v>
      </c>
      <c r="M213" s="306">
        <f t="shared" ca="1" si="103"/>
        <v>1.4637353037623262</v>
      </c>
      <c r="N213" s="304">
        <f t="shared" ca="1" si="104"/>
        <v>83.865855229880822</v>
      </c>
      <c r="P213" s="310">
        <f t="shared" ca="1" si="105"/>
        <v>6</v>
      </c>
      <c r="Q213" s="304">
        <f t="shared" ca="1" si="106"/>
        <v>573.59</v>
      </c>
      <c r="R213" s="306">
        <f t="shared" ca="1" si="107"/>
        <v>0.28785809645496191</v>
      </c>
      <c r="S213" s="307">
        <f t="shared" ca="1" si="108"/>
        <v>7.132245632660795</v>
      </c>
      <c r="T213" s="304">
        <f t="shared" ca="1" si="88"/>
        <v>69.967329656402399</v>
      </c>
      <c r="U213" s="311">
        <f t="shared" ca="1" si="89"/>
        <v>0</v>
      </c>
      <c r="V213" s="306">
        <f t="shared" ca="1" si="90"/>
        <v>1.2019074863112769</v>
      </c>
      <c r="W213" s="304">
        <f t="shared" ca="1" si="91"/>
        <v>87.457069045499622</v>
      </c>
      <c r="Y213" s="314" t="str">
        <f t="shared" ca="1" si="109"/>
        <v/>
      </c>
      <c r="Z213" s="315" t="str">
        <f t="shared" ca="1" si="110"/>
        <v/>
      </c>
      <c r="AA213" s="316" t="str">
        <f t="shared" ca="1" si="111"/>
        <v/>
      </c>
      <c r="AC213" s="310" t="e">
        <f t="shared" ca="1" si="112"/>
        <v>#N/A</v>
      </c>
      <c r="AD213" s="323" t="e">
        <f t="shared" ca="1" si="113"/>
        <v>#N/A</v>
      </c>
      <c r="AE213" s="324">
        <f t="shared" ca="1" si="92"/>
        <v>190.30402946115024</v>
      </c>
      <c r="AG213" s="306">
        <f t="shared" ca="1" si="114"/>
        <v>58.488077556608509</v>
      </c>
      <c r="AH213" s="304">
        <f t="shared" ca="1" si="115"/>
        <v>68.241974350208395</v>
      </c>
    </row>
    <row r="214" spans="1:34" x14ac:dyDescent="0.2">
      <c r="A214" s="347">
        <f t="shared" ca="1" si="93"/>
        <v>0.01</v>
      </c>
      <c r="B214" s="304">
        <f t="shared" ca="1" si="94"/>
        <v>2.0999999999999992</v>
      </c>
      <c r="D214" s="306">
        <f t="shared" ca="1" si="95"/>
        <v>7.2643835112847066</v>
      </c>
      <c r="E214" s="307">
        <f t="shared" ca="1" si="96"/>
        <v>57.783295252442784</v>
      </c>
      <c r="F214" s="304">
        <f t="shared" ca="1" si="97"/>
        <v>58.238135942267263</v>
      </c>
      <c r="G214" s="306">
        <f t="shared" ca="1" si="98"/>
        <v>18.253117744874213</v>
      </c>
      <c r="H214" s="307">
        <f t="shared" ca="1" si="99"/>
        <v>169.7426545651027</v>
      </c>
      <c r="I214" s="304">
        <f t="shared" ca="1" si="100"/>
        <v>170.72124966217891</v>
      </c>
      <c r="J214" s="306">
        <f t="shared" ca="1" si="101"/>
        <v>19.533947079956398</v>
      </c>
      <c r="K214" s="307">
        <f t="shared" ca="1" si="102"/>
        <v>191.99856684203863</v>
      </c>
      <c r="L214" s="304">
        <f t="shared" ca="1" si="87"/>
        <v>192.98970117060472</v>
      </c>
      <c r="M214" s="306">
        <f t="shared" ca="1" si="103"/>
        <v>1.4636739017157692</v>
      </c>
      <c r="N214" s="304">
        <f t="shared" ca="1" si="104"/>
        <v>83.862337151759633</v>
      </c>
      <c r="P214" s="310">
        <f t="shared" ca="1" si="105"/>
        <v>6</v>
      </c>
      <c r="Q214" s="304">
        <f t="shared" ca="1" si="106"/>
        <v>572.13000000000011</v>
      </c>
      <c r="R214" s="306">
        <f t="shared" ca="1" si="107"/>
        <v>0.28712539047887409</v>
      </c>
      <c r="S214" s="307">
        <f t="shared" ca="1" si="108"/>
        <v>7.1293743787560064</v>
      </c>
      <c r="T214" s="304">
        <f t="shared" ca="1" si="88"/>
        <v>69.939162655596434</v>
      </c>
      <c r="U214" s="311">
        <f t="shared" ca="1" si="89"/>
        <v>0</v>
      </c>
      <c r="V214" s="306">
        <f t="shared" ca="1" si="90"/>
        <v>1.2017038172469243</v>
      </c>
      <c r="W214" s="304">
        <f t="shared" ca="1" si="91"/>
        <v>88.041801786710494</v>
      </c>
      <c r="Y214" s="314" t="str">
        <f t="shared" ca="1" si="109"/>
        <v/>
      </c>
      <c r="Z214" s="315" t="str">
        <f t="shared" ca="1" si="110"/>
        <v/>
      </c>
      <c r="AA214" s="316" t="str">
        <f t="shared" ca="1" si="111"/>
        <v/>
      </c>
      <c r="AC214" s="310" t="e">
        <f t="shared" ca="1" si="112"/>
        <v>#N/A</v>
      </c>
      <c r="AD214" s="323" t="e">
        <f t="shared" ca="1" si="113"/>
        <v>#N/A</v>
      </c>
      <c r="AE214" s="324">
        <f t="shared" ca="1" si="92"/>
        <v>191.99856684203863</v>
      </c>
      <c r="AG214" s="306">
        <f t="shared" ca="1" si="114"/>
        <v>58.228701014623709</v>
      </c>
      <c r="AH214" s="304">
        <f t="shared" ca="1" si="115"/>
        <v>67.982533277915806</v>
      </c>
    </row>
    <row r="215" spans="1:34" x14ac:dyDescent="0.2">
      <c r="A215" s="347">
        <f t="shared" ca="1" si="93"/>
        <v>0.01</v>
      </c>
      <c r="B215" s="304">
        <f t="shared" ca="1" si="94"/>
        <v>2.109999999999999</v>
      </c>
      <c r="D215" s="306">
        <f t="shared" ca="1" si="95"/>
        <v>7.2407781334910002</v>
      </c>
      <c r="E215" s="307">
        <f t="shared" ca="1" si="96"/>
        <v>57.524738025280953</v>
      </c>
      <c r="F215" s="304">
        <f t="shared" ca="1" si="97"/>
        <v>57.978654286346156</v>
      </c>
      <c r="G215" s="306">
        <f t="shared" ca="1" si="98"/>
        <v>18.325525526209123</v>
      </c>
      <c r="H215" s="307">
        <f t="shared" ca="1" si="99"/>
        <v>170.31790194535552</v>
      </c>
      <c r="I215" s="304">
        <f t="shared" ca="1" si="100"/>
        <v>171.3009416462136</v>
      </c>
      <c r="J215" s="306">
        <f t="shared" ca="1" si="101"/>
        <v>19.716840296311815</v>
      </c>
      <c r="K215" s="307">
        <f t="shared" ca="1" si="102"/>
        <v>193.69886962459091</v>
      </c>
      <c r="L215" s="304">
        <f t="shared" ca="1" si="87"/>
        <v>194.69978398836128</v>
      </c>
      <c r="M215" s="306">
        <f t="shared" ca="1" si="103"/>
        <v>1.4636126724951235</v>
      </c>
      <c r="N215" s="304">
        <f t="shared" ca="1" si="104"/>
        <v>83.85882897583376</v>
      </c>
      <c r="P215" s="310">
        <f t="shared" ca="1" si="105"/>
        <v>6</v>
      </c>
      <c r="Q215" s="304">
        <f t="shared" ca="1" si="106"/>
        <v>570.67000000000019</v>
      </c>
      <c r="R215" s="306">
        <f t="shared" ca="1" si="107"/>
        <v>0.28639268450278627</v>
      </c>
      <c r="S215" s="307">
        <f t="shared" ca="1" si="108"/>
        <v>7.1265104519109785</v>
      </c>
      <c r="T215" s="304">
        <f t="shared" ca="1" si="88"/>
        <v>69.911067533246708</v>
      </c>
      <c r="U215" s="311">
        <f t="shared" ca="1" si="89"/>
        <v>0</v>
      </c>
      <c r="V215" s="306">
        <f t="shared" ca="1" si="90"/>
        <v>1.2014994895861264</v>
      </c>
      <c r="W215" s="304">
        <f t="shared" ca="1" si="91"/>
        <v>88.625645267270173</v>
      </c>
      <c r="Y215" s="314" t="str">
        <f t="shared" ca="1" si="109"/>
        <v/>
      </c>
      <c r="Z215" s="315" t="str">
        <f t="shared" ca="1" si="110"/>
        <v/>
      </c>
      <c r="AA215" s="316" t="str">
        <f t="shared" ca="1" si="111"/>
        <v/>
      </c>
      <c r="AC215" s="310" t="e">
        <f t="shared" ca="1" si="112"/>
        <v>#N/A</v>
      </c>
      <c r="AD215" s="323" t="e">
        <f t="shared" ca="1" si="113"/>
        <v>#N/A</v>
      </c>
      <c r="AE215" s="324">
        <f t="shared" ca="1" si="92"/>
        <v>193.69886962459091</v>
      </c>
      <c r="AG215" s="306">
        <f t="shared" ca="1" si="114"/>
        <v>57.969166292957794</v>
      </c>
      <c r="AH215" s="304">
        <f t="shared" ca="1" si="115"/>
        <v>67.722934172344139</v>
      </c>
    </row>
    <row r="216" spans="1:34" x14ac:dyDescent="0.2">
      <c r="A216" s="347">
        <f t="shared" ca="1" si="93"/>
        <v>0.01</v>
      </c>
      <c r="B216" s="304">
        <f t="shared" ca="1" si="94"/>
        <v>2.1199999999999988</v>
      </c>
      <c r="D216" s="306">
        <f t="shared" ca="1" si="95"/>
        <v>7.217113039939874</v>
      </c>
      <c r="E216" s="307">
        <f t="shared" ca="1" si="96"/>
        <v>57.266032788637986</v>
      </c>
      <c r="F216" s="304">
        <f t="shared" ca="1" si="97"/>
        <v>57.719019672726866</v>
      </c>
      <c r="G216" s="306">
        <f t="shared" ca="1" si="98"/>
        <v>18.39769665660852</v>
      </c>
      <c r="H216" s="307">
        <f t="shared" ca="1" si="99"/>
        <v>170.8905622732419</v>
      </c>
      <c r="I216" s="304">
        <f t="shared" ca="1" si="100"/>
        <v>171.87803674796078</v>
      </c>
      <c r="J216" s="306">
        <f t="shared" ca="1" si="101"/>
        <v>19.900456407225903</v>
      </c>
      <c r="K216" s="307">
        <f t="shared" ca="1" si="102"/>
        <v>195.40491194568389</v>
      </c>
      <c r="L216" s="304">
        <f t="shared" ca="1" si="87"/>
        <v>196.41565054169277</v>
      </c>
      <c r="M216" s="306">
        <f t="shared" ca="1" si="103"/>
        <v>1.4635516141104237</v>
      </c>
      <c r="N216" s="304">
        <f t="shared" ca="1" si="104"/>
        <v>83.855330588086574</v>
      </c>
      <c r="P216" s="310">
        <f t="shared" ca="1" si="105"/>
        <v>6</v>
      </c>
      <c r="Q216" s="304">
        <f t="shared" ca="1" si="106"/>
        <v>569.21000000000015</v>
      </c>
      <c r="R216" s="306">
        <f t="shared" ca="1" si="107"/>
        <v>0.28565997852669833</v>
      </c>
      <c r="S216" s="307">
        <f t="shared" ca="1" si="108"/>
        <v>7.1236538521257113</v>
      </c>
      <c r="T216" s="304">
        <f t="shared" ca="1" si="88"/>
        <v>69.883044289353236</v>
      </c>
      <c r="U216" s="311">
        <f t="shared" ca="1" si="89"/>
        <v>0</v>
      </c>
      <c r="V216" s="306">
        <f t="shared" ca="1" si="90"/>
        <v>1.201294506777443</v>
      </c>
      <c r="W216" s="304">
        <f t="shared" ca="1" si="91"/>
        <v>89.208570232051628</v>
      </c>
      <c r="Y216" s="314" t="str">
        <f t="shared" ca="1" si="109"/>
        <v/>
      </c>
      <c r="Z216" s="315" t="str">
        <f t="shared" ca="1" si="110"/>
        <v/>
      </c>
      <c r="AA216" s="316" t="str">
        <f t="shared" ca="1" si="111"/>
        <v/>
      </c>
      <c r="AC216" s="310" t="e">
        <f t="shared" ca="1" si="112"/>
        <v>#N/A</v>
      </c>
      <c r="AD216" s="323" t="e">
        <f t="shared" ca="1" si="113"/>
        <v>#N/A</v>
      </c>
      <c r="AE216" s="324">
        <f t="shared" ca="1" si="92"/>
        <v>195.40491194568389</v>
      </c>
      <c r="AG216" s="306">
        <f t="shared" ca="1" si="114"/>
        <v>57.70947813556414</v>
      </c>
      <c r="AH216" s="304">
        <f t="shared" ca="1" si="115"/>
        <v>67.463181775644912</v>
      </c>
    </row>
    <row r="217" spans="1:34" x14ac:dyDescent="0.2">
      <c r="A217" s="347">
        <f t="shared" ca="1" si="93"/>
        <v>0.01</v>
      </c>
      <c r="B217" s="304">
        <f t="shared" ca="1" si="94"/>
        <v>2.1299999999999986</v>
      </c>
      <c r="D217" s="306">
        <f t="shared" ca="1" si="95"/>
        <v>7.1933889758693104</v>
      </c>
      <c r="E217" s="307">
        <f t="shared" ca="1" si="96"/>
        <v>57.007184220443321</v>
      </c>
      <c r="F217" s="304">
        <f t="shared" ca="1" si="97"/>
        <v>57.459236835357636</v>
      </c>
      <c r="G217" s="306">
        <f t="shared" ca="1" si="98"/>
        <v>18.469630546367213</v>
      </c>
      <c r="H217" s="307">
        <f t="shared" ca="1" si="99"/>
        <v>171.46063411544634</v>
      </c>
      <c r="I217" s="304">
        <f t="shared" ca="1" si="100"/>
        <v>172.45253348034717</v>
      </c>
      <c r="J217" s="306">
        <f t="shared" ca="1" si="101"/>
        <v>20.084793043240783</v>
      </c>
      <c r="K217" s="307">
        <f t="shared" ca="1" si="102"/>
        <v>197.11666792762733</v>
      </c>
      <c r="L217" s="304">
        <f t="shared" ca="1" si="87"/>
        <v>198.13727485377487</v>
      </c>
      <c r="M217" s="306">
        <f t="shared" ca="1" si="103"/>
        <v>1.4634907245977469</v>
      </c>
      <c r="N217" s="304">
        <f t="shared" ca="1" si="104"/>
        <v>83.851841875993586</v>
      </c>
      <c r="P217" s="310">
        <f t="shared" ca="1" si="105"/>
        <v>6</v>
      </c>
      <c r="Q217" s="304">
        <f t="shared" ca="1" si="106"/>
        <v>567.75000000000023</v>
      </c>
      <c r="R217" s="306">
        <f t="shared" ca="1" si="107"/>
        <v>0.28492727255061051</v>
      </c>
      <c r="S217" s="307">
        <f t="shared" ca="1" si="108"/>
        <v>7.1208045794002048</v>
      </c>
      <c r="T217" s="304">
        <f t="shared" ca="1" si="88"/>
        <v>69.855092923916018</v>
      </c>
      <c r="U217" s="311">
        <f t="shared" ca="1" si="89"/>
        <v>0</v>
      </c>
      <c r="V217" s="306">
        <f t="shared" ca="1" si="90"/>
        <v>1.2010888722700912</v>
      </c>
      <c r="W217" s="304">
        <f t="shared" ca="1" si="91"/>
        <v>89.790547604647898</v>
      </c>
      <c r="Y217" s="314" t="str">
        <f t="shared" ca="1" si="109"/>
        <v/>
      </c>
      <c r="Z217" s="315" t="str">
        <f t="shared" ca="1" si="110"/>
        <v/>
      </c>
      <c r="AA217" s="316" t="str">
        <f t="shared" ca="1" si="111"/>
        <v/>
      </c>
      <c r="AC217" s="310" t="e">
        <f t="shared" ca="1" si="112"/>
        <v>#N/A</v>
      </c>
      <c r="AD217" s="323" t="e">
        <f t="shared" ca="1" si="113"/>
        <v>#N/A</v>
      </c>
      <c r="AE217" s="324">
        <f t="shared" ca="1" si="92"/>
        <v>197.11666792762733</v>
      </c>
      <c r="AG217" s="306">
        <f t="shared" ca="1" si="114"/>
        <v>57.4496412699689</v>
      </c>
      <c r="AH217" s="304">
        <f t="shared" ca="1" si="115"/>
        <v>67.203280813564589</v>
      </c>
    </row>
    <row r="218" spans="1:34" x14ac:dyDescent="0.2">
      <c r="A218" s="347">
        <f t="shared" ca="1" si="93"/>
        <v>0.01</v>
      </c>
      <c r="B218" s="304">
        <f t="shared" ca="1" si="94"/>
        <v>2.1399999999999983</v>
      </c>
      <c r="D218" s="306">
        <f t="shared" ca="1" si="95"/>
        <v>7.1696066822420415</v>
      </c>
      <c r="E218" s="307">
        <f t="shared" ca="1" si="96"/>
        <v>56.748196982307988</v>
      </c>
      <c r="F218" s="304">
        <f t="shared" ca="1" si="97"/>
        <v>57.199310491656099</v>
      </c>
      <c r="G218" s="306">
        <f t="shared" ca="1" si="98"/>
        <v>18.541326613189632</v>
      </c>
      <c r="H218" s="307">
        <f t="shared" ca="1" si="99"/>
        <v>172.02811608526943</v>
      </c>
      <c r="I218" s="304">
        <f t="shared" ca="1" si="100"/>
        <v>173.02443040340839</v>
      </c>
      <c r="J218" s="306">
        <f t="shared" ca="1" si="101"/>
        <v>20.269847829038568</v>
      </c>
      <c r="K218" s="307">
        <f t="shared" ca="1" si="102"/>
        <v>198.8341116786309</v>
      </c>
      <c r="L218" s="304">
        <f t="shared" ca="1" si="87"/>
        <v>199.86463093314595</v>
      </c>
      <c r="M218" s="306">
        <f t="shared" ca="1" si="103"/>
        <v>1.4634300020187267</v>
      </c>
      <c r="N218" s="304">
        <f t="shared" ca="1" si="104"/>
        <v>83.848362728494592</v>
      </c>
      <c r="P218" s="310">
        <f t="shared" ca="1" si="105"/>
        <v>6</v>
      </c>
      <c r="Q218" s="304">
        <f t="shared" ca="1" si="106"/>
        <v>566.29000000000019</v>
      </c>
      <c r="R218" s="306">
        <f t="shared" ca="1" si="107"/>
        <v>0.28419456657452263</v>
      </c>
      <c r="S218" s="307">
        <f t="shared" ca="1" si="108"/>
        <v>7.1179626337344599</v>
      </c>
      <c r="T218" s="304">
        <f t="shared" ca="1" si="88"/>
        <v>69.827213436935054</v>
      </c>
      <c r="U218" s="311">
        <f t="shared" ca="1" si="89"/>
        <v>0</v>
      </c>
      <c r="V218" s="306">
        <f t="shared" ca="1" si="90"/>
        <v>1.2008825895138677</v>
      </c>
      <c r="W218" s="304">
        <f t="shared" ca="1" si="91"/>
        <v>90.371548488259734</v>
      </c>
      <c r="Y218" s="314" t="str">
        <f t="shared" ca="1" si="109"/>
        <v/>
      </c>
      <c r="Z218" s="315" t="str">
        <f t="shared" ca="1" si="110"/>
        <v/>
      </c>
      <c r="AA218" s="316" t="str">
        <f t="shared" ca="1" si="111"/>
        <v/>
      </c>
      <c r="AC218" s="310" t="e">
        <f t="shared" ca="1" si="112"/>
        <v>#N/A</v>
      </c>
      <c r="AD218" s="323" t="e">
        <f t="shared" ca="1" si="113"/>
        <v>#N/A</v>
      </c>
      <c r="AE218" s="324">
        <f t="shared" ca="1" si="92"/>
        <v>198.8341116786309</v>
      </c>
      <c r="AG218" s="306">
        <f t="shared" ca="1" si="114"/>
        <v>57.189660407062107</v>
      </c>
      <c r="AH218" s="304">
        <f t="shared" ca="1" si="115"/>
        <v>66.94323599523527</v>
      </c>
    </row>
    <row r="219" spans="1:34" x14ac:dyDescent="0.2">
      <c r="A219" s="347">
        <f t="shared" ca="1" si="93"/>
        <v>0.01</v>
      </c>
      <c r="B219" s="304">
        <f t="shared" ca="1" si="94"/>
        <v>2.1499999999999981</v>
      </c>
      <c r="D219" s="306">
        <f t="shared" ca="1" si="95"/>
        <v>7.1457668957735976</v>
      </c>
      <c r="E219" s="307">
        <f t="shared" ca="1" si="96"/>
        <v>56.489075719315338</v>
      </c>
      <c r="F219" s="304">
        <f t="shared" ca="1" si="97"/>
        <v>56.939245342305647</v>
      </c>
      <c r="G219" s="306">
        <f t="shared" ca="1" si="98"/>
        <v>18.612784282147366</v>
      </c>
      <c r="H219" s="307">
        <f t="shared" ca="1" si="99"/>
        <v>172.59300684246259</v>
      </c>
      <c r="I219" s="304">
        <f t="shared" ca="1" si="100"/>
        <v>173.59372612412031</v>
      </c>
      <c r="J219" s="306">
        <f t="shared" ca="1" si="101"/>
        <v>20.455618383515255</v>
      </c>
      <c r="K219" s="307">
        <f t="shared" ca="1" si="102"/>
        <v>200.55721729326956</v>
      </c>
      <c r="L219" s="304">
        <f t="shared" ca="1" si="87"/>
        <v>201.59769277417772</v>
      </c>
      <c r="M219" s="306">
        <f t="shared" ca="1" si="103"/>
        <v>1.463369444460078</v>
      </c>
      <c r="N219" s="304">
        <f t="shared" ca="1" si="104"/>
        <v>83.844893035966393</v>
      </c>
      <c r="P219" s="310">
        <f t="shared" ca="1" si="105"/>
        <v>6</v>
      </c>
      <c r="Q219" s="304">
        <f t="shared" ca="1" si="106"/>
        <v>564.83000000000027</v>
      </c>
      <c r="R219" s="306">
        <f t="shared" ca="1" si="107"/>
        <v>0.28346186059843481</v>
      </c>
      <c r="S219" s="307">
        <f t="shared" ca="1" si="108"/>
        <v>7.1151280151284757</v>
      </c>
      <c r="T219" s="304">
        <f t="shared" ca="1" si="88"/>
        <v>69.799405828410343</v>
      </c>
      <c r="U219" s="311">
        <f t="shared" ca="1" si="89"/>
        <v>0</v>
      </c>
      <c r="V219" s="306">
        <f t="shared" ca="1" si="90"/>
        <v>1.2006756619590739</v>
      </c>
      <c r="W219" s="304">
        <f t="shared" ca="1" si="91"/>
        <v>90.951544166562272</v>
      </c>
      <c r="Y219" s="314" t="str">
        <f t="shared" ca="1" si="109"/>
        <v/>
      </c>
      <c r="Z219" s="315" t="str">
        <f t="shared" ca="1" si="110"/>
        <v/>
      </c>
      <c r="AA219" s="316" t="str">
        <f t="shared" ca="1" si="111"/>
        <v/>
      </c>
      <c r="AC219" s="310" t="e">
        <f t="shared" ca="1" si="112"/>
        <v>#N/A</v>
      </c>
      <c r="AD219" s="323" t="e">
        <f t="shared" ca="1" si="113"/>
        <v>#N/A</v>
      </c>
      <c r="AE219" s="324">
        <f t="shared" ca="1" si="92"/>
        <v>200.55721729326956</v>
      </c>
      <c r="AG219" s="306">
        <f t="shared" ca="1" si="114"/>
        <v>56.929540240891754</v>
      </c>
      <c r="AH219" s="304">
        <f t="shared" ca="1" si="115"/>
        <v>66.683052012968361</v>
      </c>
    </row>
    <row r="220" spans="1:34" x14ac:dyDescent="0.2">
      <c r="A220" s="347">
        <f t="shared" ca="1" si="93"/>
        <v>0.01</v>
      </c>
      <c r="B220" s="304">
        <f t="shared" ca="1" si="94"/>
        <v>2.1599999999999979</v>
      </c>
      <c r="D220" s="306">
        <f t="shared" ca="1" si="95"/>
        <v>7.121870348959348</v>
      </c>
      <c r="E220" s="307">
        <f t="shared" ca="1" si="96"/>
        <v>56.229825059814303</v>
      </c>
      <c r="F220" s="304">
        <f t="shared" ca="1" si="97"/>
        <v>56.679046071054394</v>
      </c>
      <c r="G220" s="306">
        <f t="shared" ca="1" si="98"/>
        <v>18.684002985636958</v>
      </c>
      <c r="H220" s="307">
        <f t="shared" ca="1" si="99"/>
        <v>173.15530509306072</v>
      </c>
      <c r="I220" s="304">
        <f t="shared" ca="1" si="100"/>
        <v>174.16041929622881</v>
      </c>
      <c r="J220" s="306">
        <f t="shared" ca="1" si="101"/>
        <v>20.642102319854175</v>
      </c>
      <c r="K220" s="307">
        <f t="shared" ca="1" si="102"/>
        <v>202.28595885294718</v>
      </c>
      <c r="L220" s="304">
        <f t="shared" ca="1" si="87"/>
        <v>203.33643435754342</v>
      </c>
      <c r="M220" s="306">
        <f t="shared" ca="1" si="103"/>
        <v>1.4633090500331316</v>
      </c>
      <c r="N220" s="304">
        <f t="shared" ca="1" si="104"/>
        <v>83.841432690196257</v>
      </c>
      <c r="P220" s="310">
        <f t="shared" ca="1" si="105"/>
        <v>6</v>
      </c>
      <c r="Q220" s="304">
        <f t="shared" ca="1" si="106"/>
        <v>563.37000000000035</v>
      </c>
      <c r="R220" s="306">
        <f t="shared" ca="1" si="107"/>
        <v>0.28272915462234693</v>
      </c>
      <c r="S220" s="307">
        <f t="shared" ca="1" si="108"/>
        <v>7.1123007235822522</v>
      </c>
      <c r="T220" s="304">
        <f t="shared" ca="1" si="88"/>
        <v>69.7716700983419</v>
      </c>
      <c r="U220" s="311">
        <f t="shared" ca="1" si="89"/>
        <v>0</v>
      </c>
      <c r="V220" s="306">
        <f t="shared" ca="1" si="90"/>
        <v>1.2004680930564424</v>
      </c>
      <c r="W220" s="304">
        <f t="shared" ca="1" si="91"/>
        <v>91.530506104551932</v>
      </c>
      <c r="Y220" s="314" t="str">
        <f t="shared" ca="1" si="109"/>
        <v/>
      </c>
      <c r="Z220" s="315" t="str">
        <f t="shared" ca="1" si="110"/>
        <v/>
      </c>
      <c r="AA220" s="316" t="str">
        <f t="shared" ca="1" si="111"/>
        <v/>
      </c>
      <c r="AC220" s="310" t="e">
        <f t="shared" ca="1" si="112"/>
        <v>#N/A</v>
      </c>
      <c r="AD220" s="323" t="e">
        <f t="shared" ca="1" si="113"/>
        <v>#N/A</v>
      </c>
      <c r="AE220" s="324">
        <f t="shared" ca="1" si="92"/>
        <v>202.28595885294718</v>
      </c>
      <c r="AG220" s="306">
        <f t="shared" ca="1" si="114"/>
        <v>56.669285448460244</v>
      </c>
      <c r="AH220" s="304">
        <f t="shared" ca="1" si="115"/>
        <v>66.422733542050665</v>
      </c>
    </row>
    <row r="221" spans="1:34" x14ac:dyDescent="0.2">
      <c r="A221" s="347">
        <f t="shared" ca="1" si="93"/>
        <v>0.01</v>
      </c>
      <c r="B221" s="304">
        <f t="shared" ca="1" si="94"/>
        <v>2.1699999999999977</v>
      </c>
      <c r="D221" s="306">
        <f t="shared" ca="1" si="95"/>
        <v>7.0979177701005804</v>
      </c>
      <c r="E221" s="307">
        <f t="shared" ca="1" si="96"/>
        <v>55.970449615215273</v>
      </c>
      <c r="F221" s="304">
        <f t="shared" ca="1" si="97"/>
        <v>56.418717344516622</v>
      </c>
      <c r="G221" s="306">
        <f t="shared" ca="1" si="98"/>
        <v>18.754982163337964</v>
      </c>
      <c r="H221" s="307">
        <f t="shared" ca="1" si="99"/>
        <v>173.71500958921288</v>
      </c>
      <c r="I221" s="304">
        <f t="shared" ca="1" si="100"/>
        <v>174.72450862007724</v>
      </c>
      <c r="J221" s="306">
        <f t="shared" ca="1" si="101"/>
        <v>20.829297245599051</v>
      </c>
      <c r="K221" s="307">
        <f t="shared" ca="1" si="102"/>
        <v>204.02031042635855</v>
      </c>
      <c r="L221" s="304">
        <f t="shared" ca="1" si="87"/>
        <v>205.08082965068488</v>
      </c>
      <c r="M221" s="306">
        <f t="shared" ca="1" si="103"/>
        <v>1.4632488168733813</v>
      </c>
      <c r="N221" s="304">
        <f t="shared" ca="1" si="104"/>
        <v>83.83798158435583</v>
      </c>
      <c r="P221" s="310">
        <f t="shared" ca="1" si="105"/>
        <v>6</v>
      </c>
      <c r="Q221" s="304">
        <f t="shared" ca="1" si="106"/>
        <v>561.91000000000031</v>
      </c>
      <c r="R221" s="306">
        <f t="shared" ca="1" si="107"/>
        <v>0.28199644864625906</v>
      </c>
      <c r="S221" s="307">
        <f t="shared" ca="1" si="108"/>
        <v>7.1094807590957894</v>
      </c>
      <c r="T221" s="304">
        <f t="shared" ca="1" si="88"/>
        <v>69.744006246729697</v>
      </c>
      <c r="U221" s="311">
        <f t="shared" ca="1" si="89"/>
        <v>0</v>
      </c>
      <c r="V221" s="306">
        <f t="shared" ca="1" si="90"/>
        <v>1.2002598862570617</v>
      </c>
      <c r="W221" s="304">
        <f t="shared" ca="1" si="91"/>
        <v>92.108405949372241</v>
      </c>
      <c r="Y221" s="314" t="str">
        <f t="shared" ca="1" si="109"/>
        <v/>
      </c>
      <c r="Z221" s="315" t="str">
        <f t="shared" ca="1" si="110"/>
        <v/>
      </c>
      <c r="AA221" s="316" t="str">
        <f t="shared" ca="1" si="111"/>
        <v/>
      </c>
      <c r="AC221" s="310" t="e">
        <f t="shared" ca="1" si="112"/>
        <v>#N/A</v>
      </c>
      <c r="AD221" s="323" t="e">
        <f t="shared" ca="1" si="113"/>
        <v>#N/A</v>
      </c>
      <c r="AE221" s="324">
        <f t="shared" ca="1" si="92"/>
        <v>204.02031042635855</v>
      </c>
      <c r="AG221" s="306">
        <f t="shared" ca="1" si="114"/>
        <v>56.408900689523534</v>
      </c>
      <c r="AH221" s="304">
        <f t="shared" ca="1" si="115"/>
        <v>66.162285240543085</v>
      </c>
    </row>
    <row r="222" spans="1:34" x14ac:dyDescent="0.2">
      <c r="A222" s="347">
        <f t="shared" ca="1" si="93"/>
        <v>0.01</v>
      </c>
      <c r="B222" s="304">
        <f t="shared" ca="1" si="94"/>
        <v>2.1799999999999975</v>
      </c>
      <c r="D222" s="306">
        <f t="shared" ca="1" si="95"/>
        <v>7.0739098833296365</v>
      </c>
      <c r="E222" s="307">
        <f t="shared" ca="1" si="96"/>
        <v>55.710953979789252</v>
      </c>
      <c r="F222" s="304">
        <f t="shared" ca="1" si="97"/>
        <v>56.158263811977527</v>
      </c>
      <c r="G222" s="306">
        <f t="shared" ca="1" si="98"/>
        <v>18.82572126217126</v>
      </c>
      <c r="H222" s="307">
        <f t="shared" ca="1" si="99"/>
        <v>174.27211912901078</v>
      </c>
      <c r="I222" s="304">
        <f t="shared" ca="1" si="100"/>
        <v>175.28599284243191</v>
      </c>
      <c r="J222" s="306">
        <f t="shared" ca="1" si="101"/>
        <v>21.017200762726596</v>
      </c>
      <c r="K222" s="307">
        <f t="shared" ca="1" si="102"/>
        <v>205.76024606994966</v>
      </c>
      <c r="L222" s="304">
        <f t="shared" ca="1" si="87"/>
        <v>206.83085260827747</v>
      </c>
      <c r="M222" s="306">
        <f t="shared" ca="1" si="103"/>
        <v>1.4631887431400394</v>
      </c>
      <c r="N222" s="304">
        <f t="shared" ca="1" si="104"/>
        <v>83.834539612975746</v>
      </c>
      <c r="P222" s="310">
        <f t="shared" ca="1" si="105"/>
        <v>6</v>
      </c>
      <c r="Q222" s="304">
        <f t="shared" ca="1" si="106"/>
        <v>560.45000000000039</v>
      </c>
      <c r="R222" s="306">
        <f t="shared" ca="1" si="107"/>
        <v>0.28126374267017124</v>
      </c>
      <c r="S222" s="307">
        <f t="shared" ca="1" si="108"/>
        <v>7.1066681216690872</v>
      </c>
      <c r="T222" s="304">
        <f t="shared" ca="1" si="88"/>
        <v>69.716414273573747</v>
      </c>
      <c r="U222" s="311">
        <f t="shared" ca="1" si="89"/>
        <v>0</v>
      </c>
      <c r="V222" s="306">
        <f t="shared" ca="1" si="90"/>
        <v>1.2000510450123041</v>
      </c>
      <c r="W222" s="304">
        <f t="shared" ca="1" si="91"/>
        <v>92.685215531119482</v>
      </c>
      <c r="Y222" s="314" t="str">
        <f t="shared" ca="1" si="109"/>
        <v/>
      </c>
      <c r="Z222" s="315" t="str">
        <f t="shared" ca="1" si="110"/>
        <v/>
      </c>
      <c r="AA222" s="316" t="str">
        <f t="shared" ca="1" si="111"/>
        <v/>
      </c>
      <c r="AC222" s="310" t="e">
        <f t="shared" ca="1" si="112"/>
        <v>#N/A</v>
      </c>
      <c r="AD222" s="323" t="e">
        <f t="shared" ca="1" si="113"/>
        <v>#N/A</v>
      </c>
      <c r="AE222" s="324">
        <f t="shared" ca="1" si="92"/>
        <v>205.76024606994966</v>
      </c>
      <c r="AG222" s="306">
        <f t="shared" ca="1" si="114"/>
        <v>56.148390606393093</v>
      </c>
      <c r="AH222" s="304">
        <f t="shared" ca="1" si="115"/>
        <v>65.901711749082281</v>
      </c>
    </row>
    <row r="223" spans="1:34" x14ac:dyDescent="0.2">
      <c r="A223" s="347">
        <f t="shared" ca="1" si="93"/>
        <v>0.01</v>
      </c>
      <c r="B223" s="304">
        <f t="shared" ca="1" si="94"/>
        <v>2.1899999999999973</v>
      </c>
      <c r="D223" s="306">
        <f t="shared" ca="1" si="95"/>
        <v>7.0498474086341467</v>
      </c>
      <c r="E223" s="307">
        <f t="shared" ca="1" si="96"/>
        <v>55.451342730469065</v>
      </c>
      <c r="F223" s="304">
        <f t="shared" ca="1" si="97"/>
        <v>55.897690105199963</v>
      </c>
      <c r="G223" s="306">
        <f t="shared" ca="1" si="98"/>
        <v>18.896219736257603</v>
      </c>
      <c r="H223" s="307">
        <f t="shared" ca="1" si="99"/>
        <v>174.82663255631547</v>
      </c>
      <c r="I223" s="304">
        <f t="shared" ca="1" si="100"/>
        <v>175.84487075630577</v>
      </c>
      <c r="J223" s="306">
        <f t="shared" ca="1" si="101"/>
        <v>21.205810467718742</v>
      </c>
      <c r="K223" s="307">
        <f t="shared" ca="1" si="102"/>
        <v>207.50573982837628</v>
      </c>
      <c r="L223" s="304">
        <f t="shared" ca="1" si="87"/>
        <v>208.58647717269352</v>
      </c>
      <c r="M223" s="306">
        <f t="shared" ca="1" si="103"/>
        <v>1.4631288270156035</v>
      </c>
      <c r="N223" s="304">
        <f t="shared" ca="1" si="104"/>
        <v>83.831106671920793</v>
      </c>
      <c r="P223" s="310">
        <f t="shared" ca="1" si="105"/>
        <v>6</v>
      </c>
      <c r="Q223" s="304">
        <f t="shared" ca="1" si="106"/>
        <v>558.99000000000035</v>
      </c>
      <c r="R223" s="306">
        <f t="shared" ca="1" si="107"/>
        <v>0.28053103669408336</v>
      </c>
      <c r="S223" s="307">
        <f t="shared" ca="1" si="108"/>
        <v>7.1038628113021467</v>
      </c>
      <c r="T223" s="304">
        <f t="shared" ca="1" si="88"/>
        <v>69.688894178874065</v>
      </c>
      <c r="U223" s="311">
        <f t="shared" ca="1" si="89"/>
        <v>0</v>
      </c>
      <c r="V223" s="306">
        <f t="shared" ca="1" si="90"/>
        <v>1.1998415727737493</v>
      </c>
      <c r="W223" s="304">
        <f t="shared" ca="1" si="91"/>
        <v>93.260906863627895</v>
      </c>
      <c r="Y223" s="314" t="str">
        <f t="shared" ca="1" si="109"/>
        <v/>
      </c>
      <c r="Z223" s="315" t="str">
        <f t="shared" ca="1" si="110"/>
        <v/>
      </c>
      <c r="AA223" s="316" t="str">
        <f t="shared" ca="1" si="111"/>
        <v/>
      </c>
      <c r="AC223" s="310" t="e">
        <f t="shared" ca="1" si="112"/>
        <v>#N/A</v>
      </c>
      <c r="AD223" s="323" t="e">
        <f t="shared" ca="1" si="113"/>
        <v>#N/A</v>
      </c>
      <c r="AE223" s="324">
        <f t="shared" ca="1" si="92"/>
        <v>207.50573982837628</v>
      </c>
      <c r="AG223" s="306">
        <f t="shared" ca="1" si="114"/>
        <v>55.887759823740311</v>
      </c>
      <c r="AH223" s="304">
        <f t="shared" ca="1" si="115"/>
        <v>65.641017690684635</v>
      </c>
    </row>
    <row r="224" spans="1:34" x14ac:dyDescent="0.2">
      <c r="A224" s="347">
        <f t="shared" ca="1" si="93"/>
        <v>0.01</v>
      </c>
      <c r="B224" s="304">
        <f t="shared" ca="1" si="94"/>
        <v>2.1999999999999971</v>
      </c>
      <c r="D224" s="306">
        <f t="shared" ca="1" si="95"/>
        <v>7.0257310618804381</v>
      </c>
      <c r="E224" s="307">
        <f t="shared" ca="1" si="96"/>
        <v>55.191620426653984</v>
      </c>
      <c r="F224" s="304">
        <f t="shared" ca="1" si="97"/>
        <v>55.637000838234627</v>
      </c>
      <c r="G224" s="306">
        <f t="shared" ca="1" si="98"/>
        <v>18.966477046876406</v>
      </c>
      <c r="H224" s="307">
        <f t="shared" ca="1" si="99"/>
        <v>175.37854876058202</v>
      </c>
      <c r="I224" s="304">
        <f t="shared" ca="1" si="100"/>
        <v>176.40114120078005</v>
      </c>
      <c r="J224" s="306">
        <f t="shared" ca="1" si="101"/>
        <v>21.39512395163441</v>
      </c>
      <c r="K224" s="307">
        <f t="shared" ca="1" si="102"/>
        <v>209.25676573496077</v>
      </c>
      <c r="L224" s="304">
        <f t="shared" ca="1" si="87"/>
        <v>210.34767727446396</v>
      </c>
      <c r="M224" s="306">
        <f t="shared" ca="1" si="103"/>
        <v>1.4630690667054316</v>
      </c>
      <c r="N224" s="304">
        <f t="shared" ca="1" si="104"/>
        <v>83.827682658365546</v>
      </c>
      <c r="P224" s="310">
        <f t="shared" ca="1" si="105"/>
        <v>6</v>
      </c>
      <c r="Q224" s="304">
        <f t="shared" ca="1" si="106"/>
        <v>557.53000000000043</v>
      </c>
      <c r="R224" s="306">
        <f t="shared" ca="1" si="107"/>
        <v>0.27979833071799548</v>
      </c>
      <c r="S224" s="307">
        <f t="shared" ca="1" si="108"/>
        <v>7.1010648279949669</v>
      </c>
      <c r="T224" s="304">
        <f t="shared" ca="1" si="88"/>
        <v>69.661445962630623</v>
      </c>
      <c r="U224" s="311">
        <f t="shared" ca="1" si="89"/>
        <v>0</v>
      </c>
      <c r="V224" s="306">
        <f t="shared" ca="1" si="90"/>
        <v>1.1996314729931135</v>
      </c>
      <c r="W224" s="304">
        <f t="shared" ca="1" si="91"/>
        <v>93.83545214523464</v>
      </c>
      <c r="Y224" s="314" t="str">
        <f t="shared" ca="1" si="109"/>
        <v/>
      </c>
      <c r="Z224" s="315" t="str">
        <f t="shared" ca="1" si="110"/>
        <v/>
      </c>
      <c r="AA224" s="316" t="str">
        <f t="shared" ca="1" si="111"/>
        <v/>
      </c>
      <c r="AC224" s="310" t="e">
        <f t="shared" ca="1" si="112"/>
        <v>#N/A</v>
      </c>
      <c r="AD224" s="323" t="e">
        <f t="shared" ca="1" si="113"/>
        <v>#N/A</v>
      </c>
      <c r="AE224" s="324">
        <f t="shared" ca="1" si="92"/>
        <v>209.25676573496077</v>
      </c>
      <c r="AG224" s="306">
        <f t="shared" ca="1" si="114"/>
        <v>55.627012948403802</v>
      </c>
      <c r="AH224" s="304">
        <f t="shared" ca="1" si="115"/>
        <v>65.380207670553261</v>
      </c>
    </row>
    <row r="225" spans="1:34" x14ac:dyDescent="0.2">
      <c r="A225" s="347">
        <f t="shared" ca="1" si="93"/>
        <v>0.01</v>
      </c>
      <c r="B225" s="304">
        <f t="shared" ca="1" si="94"/>
        <v>2.2099999999999969</v>
      </c>
      <c r="D225" s="306">
        <f t="shared" ca="1" si="95"/>
        <v>7.001561554836071</v>
      </c>
      <c r="E225" s="307">
        <f t="shared" ca="1" si="96"/>
        <v>54.931791610016575</v>
      </c>
      <c r="F225" s="304">
        <f t="shared" ca="1" si="97"/>
        <v>55.376200607232398</v>
      </c>
      <c r="G225" s="306">
        <f t="shared" ca="1" si="98"/>
        <v>19.036492662424767</v>
      </c>
      <c r="H225" s="307">
        <f t="shared" ca="1" si="99"/>
        <v>175.92786667668219</v>
      </c>
      <c r="I225" s="304">
        <f t="shared" ca="1" si="100"/>
        <v>176.95480306082402</v>
      </c>
      <c r="J225" s="306">
        <f t="shared" ca="1" si="101"/>
        <v>21.585138800180918</v>
      </c>
      <c r="K225" s="307">
        <f t="shared" ca="1" si="102"/>
        <v>211.01329781214707</v>
      </c>
      <c r="L225" s="304">
        <f t="shared" ca="1" si="87"/>
        <v>212.11442683273796</v>
      </c>
      <c r="M225" s="306">
        <f t="shared" ca="1" si="103"/>
        <v>1.4630094604373283</v>
      </c>
      <c r="N225" s="304">
        <f t="shared" ca="1" si="104"/>
        <v>83.824267470770693</v>
      </c>
      <c r="P225" s="310">
        <f t="shared" ca="1" si="105"/>
        <v>6</v>
      </c>
      <c r="Q225" s="304">
        <f t="shared" ca="1" si="106"/>
        <v>556.07000000000039</v>
      </c>
      <c r="R225" s="306">
        <f t="shared" ca="1" si="107"/>
        <v>0.2790656247419076</v>
      </c>
      <c r="S225" s="307">
        <f t="shared" ca="1" si="108"/>
        <v>7.0982741717475477</v>
      </c>
      <c r="T225" s="304">
        <f t="shared" ca="1" si="88"/>
        <v>69.634069624843448</v>
      </c>
      <c r="U225" s="311">
        <f t="shared" ca="1" si="89"/>
        <v>0</v>
      </c>
      <c r="V225" s="306">
        <f t="shared" ca="1" si="90"/>
        <v>1.1994207491221767</v>
      </c>
      <c r="W225" s="304">
        <f t="shared" ca="1" si="91"/>
        <v>94.408823759524637</v>
      </c>
      <c r="Y225" s="314" t="str">
        <f t="shared" ca="1" si="109"/>
        <v/>
      </c>
      <c r="Z225" s="315" t="str">
        <f t="shared" ca="1" si="110"/>
        <v/>
      </c>
      <c r="AA225" s="316" t="str">
        <f t="shared" ca="1" si="111"/>
        <v/>
      </c>
      <c r="AC225" s="310" t="e">
        <f t="shared" ca="1" si="112"/>
        <v>#N/A</v>
      </c>
      <c r="AD225" s="323" t="e">
        <f t="shared" ca="1" si="113"/>
        <v>#N/A</v>
      </c>
      <c r="AE225" s="324">
        <f t="shared" ca="1" si="92"/>
        <v>211.01329781214707</v>
      </c>
      <c r="AG225" s="306">
        <f t="shared" ca="1" si="114"/>
        <v>55.366154569199161</v>
      </c>
      <c r="AH225" s="304">
        <f t="shared" ca="1" si="115"/>
        <v>65.119286275887362</v>
      </c>
    </row>
    <row r="226" spans="1:34" x14ac:dyDescent="0.2">
      <c r="A226" s="347">
        <f t="shared" ca="1" si="93"/>
        <v>0.01</v>
      </c>
      <c r="B226" s="304">
        <f t="shared" ca="1" si="94"/>
        <v>2.2199999999999966</v>
      </c>
      <c r="D226" s="306">
        <f t="shared" ca="1" si="95"/>
        <v>6.9773395951915393</v>
      </c>
      <c r="E226" s="307">
        <f t="shared" ca="1" si="96"/>
        <v>54.671860804312672</v>
      </c>
      <c r="F226" s="304">
        <f t="shared" ca="1" si="97"/>
        <v>55.115293990259801</v>
      </c>
      <c r="G226" s="306">
        <f t="shared" ca="1" si="98"/>
        <v>19.106266058376683</v>
      </c>
      <c r="H226" s="307">
        <f t="shared" ca="1" si="99"/>
        <v>176.47458528472532</v>
      </c>
      <c r="I226" s="304">
        <f t="shared" ca="1" si="100"/>
        <v>177.50585526711299</v>
      </c>
      <c r="J226" s="306">
        <f t="shared" ca="1" si="101"/>
        <v>21.775852593784926</v>
      </c>
      <c r="K226" s="307">
        <f t="shared" ca="1" si="102"/>
        <v>212.77531007195412</v>
      </c>
      <c r="L226" s="304">
        <f t="shared" ca="1" si="87"/>
        <v>213.88669975574095</v>
      </c>
      <c r="M226" s="306">
        <f t="shared" ca="1" si="103"/>
        <v>1.4629500064611392</v>
      </c>
      <c r="N226" s="304">
        <f t="shared" ca="1" si="104"/>
        <v>83.820861008859794</v>
      </c>
      <c r="P226" s="310">
        <f t="shared" ca="1" si="105"/>
        <v>6</v>
      </c>
      <c r="Q226" s="304">
        <f t="shared" ca="1" si="106"/>
        <v>554.61000000000047</v>
      </c>
      <c r="R226" s="306">
        <f t="shared" ca="1" si="107"/>
        <v>0.27833291876581978</v>
      </c>
      <c r="S226" s="307">
        <f t="shared" ca="1" si="108"/>
        <v>7.0954908425598893</v>
      </c>
      <c r="T226" s="304">
        <f t="shared" ca="1" si="88"/>
        <v>69.606765165512513</v>
      </c>
      <c r="U226" s="311">
        <f t="shared" ca="1" si="89"/>
        <v>0</v>
      </c>
      <c r="V226" s="306">
        <f t="shared" ca="1" si="90"/>
        <v>1.1992094046127093</v>
      </c>
      <c r="W226" s="304">
        <f t="shared" ca="1" si="91"/>
        <v>94.980994276054929</v>
      </c>
      <c r="Y226" s="314" t="str">
        <f t="shared" ca="1" si="109"/>
        <v/>
      </c>
      <c r="Z226" s="315" t="str">
        <f t="shared" ca="1" si="110"/>
        <v/>
      </c>
      <c r="AA226" s="316" t="str">
        <f t="shared" ca="1" si="111"/>
        <v/>
      </c>
      <c r="AC226" s="310" t="e">
        <f t="shared" ca="1" si="112"/>
        <v>#N/A</v>
      </c>
      <c r="AD226" s="323" t="e">
        <f t="shared" ca="1" si="113"/>
        <v>#N/A</v>
      </c>
      <c r="AE226" s="324">
        <f t="shared" ca="1" si="92"/>
        <v>212.77531007195412</v>
      </c>
      <c r="AG226" s="306">
        <f t="shared" ca="1" si="114"/>
        <v>55.105189256731492</v>
      </c>
      <c r="AH226" s="304">
        <f t="shared" ca="1" si="115"/>
        <v>64.858258075694437</v>
      </c>
    </row>
    <row r="227" spans="1:34" x14ac:dyDescent="0.2">
      <c r="A227" s="347">
        <f t="shared" ca="1" si="93"/>
        <v>0.01</v>
      </c>
      <c r="B227" s="304">
        <f t="shared" ca="1" si="94"/>
        <v>2.2299999999999964</v>
      </c>
      <c r="D227" s="306">
        <f t="shared" ca="1" si="95"/>
        <v>6.9530658865812676</v>
      </c>
      <c r="E227" s="307">
        <f t="shared" ca="1" si="96"/>
        <v>54.411832515193851</v>
      </c>
      <c r="F227" s="304">
        <f t="shared" ca="1" si="97"/>
        <v>54.85428554711698</v>
      </c>
      <c r="G227" s="306">
        <f t="shared" ca="1" si="98"/>
        <v>19.175796717242495</v>
      </c>
      <c r="H227" s="307">
        <f t="shared" ca="1" si="99"/>
        <v>177.01870360987726</v>
      </c>
      <c r="I227" s="304">
        <f t="shared" ca="1" si="100"/>
        <v>178.05429679584421</v>
      </c>
      <c r="J227" s="306">
        <f t="shared" ca="1" si="101"/>
        <v>21.96726290766302</v>
      </c>
      <c r="K227" s="307">
        <f t="shared" ca="1" si="102"/>
        <v>214.54277651642712</v>
      </c>
      <c r="L227" s="304">
        <f t="shared" ca="1" si="87"/>
        <v>215.66446994123066</v>
      </c>
      <c r="M227" s="306">
        <f t="shared" ca="1" si="103"/>
        <v>1.4628907030483542</v>
      </c>
      <c r="N227" s="304">
        <f t="shared" ca="1" si="104"/>
        <v>83.817463173596494</v>
      </c>
      <c r="P227" s="310">
        <f t="shared" ca="1" si="105"/>
        <v>6</v>
      </c>
      <c r="Q227" s="304">
        <f t="shared" ca="1" si="106"/>
        <v>553.15000000000055</v>
      </c>
      <c r="R227" s="306">
        <f t="shared" ca="1" si="107"/>
        <v>0.2776002127897319</v>
      </c>
      <c r="S227" s="307">
        <f t="shared" ca="1" si="108"/>
        <v>7.0927148404319915</v>
      </c>
      <c r="T227" s="304">
        <f t="shared" ca="1" si="88"/>
        <v>69.579532584637846</v>
      </c>
      <c r="U227" s="311">
        <f t="shared" ca="1" si="89"/>
        <v>0</v>
      </c>
      <c r="V227" s="306">
        <f t="shared" ca="1" si="90"/>
        <v>1.1989974429163999</v>
      </c>
      <c r="W227" s="304">
        <f t="shared" ca="1" si="91"/>
        <v>95.551936451059049</v>
      </c>
      <c r="Y227" s="314" t="str">
        <f t="shared" ca="1" si="109"/>
        <v/>
      </c>
      <c r="Z227" s="315" t="str">
        <f t="shared" ca="1" si="110"/>
        <v/>
      </c>
      <c r="AA227" s="316" t="str">
        <f t="shared" ca="1" si="111"/>
        <v/>
      </c>
      <c r="AC227" s="310" t="e">
        <f t="shared" ca="1" si="112"/>
        <v>#N/A</v>
      </c>
      <c r="AD227" s="323" t="e">
        <f t="shared" ca="1" si="113"/>
        <v>#N/A</v>
      </c>
      <c r="AE227" s="324">
        <f t="shared" ca="1" si="92"/>
        <v>214.54277651642712</v>
      </c>
      <c r="AG227" s="306">
        <f t="shared" ca="1" si="114"/>
        <v>54.844121563210599</v>
      </c>
      <c r="AH227" s="304">
        <f t="shared" ca="1" si="115"/>
        <v>64.597127620605164</v>
      </c>
    </row>
    <row r="228" spans="1:34" x14ac:dyDescent="0.2">
      <c r="A228" s="347">
        <f t="shared" ca="1" si="93"/>
        <v>0.01</v>
      </c>
      <c r="B228" s="304">
        <f t="shared" ca="1" si="94"/>
        <v>2.2399999999999962</v>
      </c>
      <c r="D228" s="306">
        <f t="shared" ca="1" si="95"/>
        <v>6.9287411286038214</v>
      </c>
      <c r="E228" s="307">
        <f t="shared" ca="1" si="96"/>
        <v>54.151711230022912</v>
      </c>
      <c r="F228" s="304">
        <f t="shared" ca="1" si="97"/>
        <v>54.593179819158692</v>
      </c>
      <c r="G228" s="306">
        <f t="shared" ca="1" si="98"/>
        <v>19.245084128528532</v>
      </c>
      <c r="H228" s="307">
        <f t="shared" ca="1" si="99"/>
        <v>177.56022072217749</v>
      </c>
      <c r="I228" s="304">
        <f t="shared" ca="1" si="100"/>
        <v>178.60012666855118</v>
      </c>
      <c r="J228" s="306">
        <f t="shared" ca="1" si="101"/>
        <v>22.159367311891874</v>
      </c>
      <c r="K228" s="307">
        <f t="shared" ca="1" si="102"/>
        <v>216.3156711380874</v>
      </c>
      <c r="L228" s="304">
        <f t="shared" ca="1" si="87"/>
        <v>217.44771127695162</v>
      </c>
      <c r="M228" s="306">
        <f t="shared" ca="1" si="103"/>
        <v>1.4628315484917203</v>
      </c>
      <c r="N228" s="304">
        <f t="shared" ca="1" si="104"/>
        <v>83.814073867162392</v>
      </c>
      <c r="P228" s="310">
        <f t="shared" ca="1" si="105"/>
        <v>6</v>
      </c>
      <c r="Q228" s="304">
        <f t="shared" ca="1" si="106"/>
        <v>551.69000000000051</v>
      </c>
      <c r="R228" s="306">
        <f t="shared" ca="1" si="107"/>
        <v>0.27686750681364403</v>
      </c>
      <c r="S228" s="307">
        <f t="shared" ca="1" si="108"/>
        <v>7.0899461653638554</v>
      </c>
      <c r="T228" s="304">
        <f t="shared" ca="1" si="88"/>
        <v>69.552371882219418</v>
      </c>
      <c r="U228" s="311">
        <f t="shared" ca="1" si="89"/>
        <v>0</v>
      </c>
      <c r="V228" s="306">
        <f t="shared" ca="1" si="90"/>
        <v>1.1987848674847845</v>
      </c>
      <c r="W228" s="304">
        <f t="shared" ca="1" si="91"/>
        <v>96.121623228131426</v>
      </c>
      <c r="Y228" s="314" t="str">
        <f t="shared" ca="1" si="109"/>
        <v/>
      </c>
      <c r="Z228" s="315" t="str">
        <f t="shared" ca="1" si="110"/>
        <v/>
      </c>
      <c r="AA228" s="316" t="str">
        <f t="shared" ca="1" si="111"/>
        <v/>
      </c>
      <c r="AC228" s="310" t="e">
        <f t="shared" ca="1" si="112"/>
        <v>#N/A</v>
      </c>
      <c r="AD228" s="323" t="e">
        <f t="shared" ca="1" si="113"/>
        <v>#N/A</v>
      </c>
      <c r="AE228" s="324">
        <f t="shared" ca="1" si="92"/>
        <v>216.3156711380874</v>
      </c>
      <c r="AG228" s="306">
        <f t="shared" ca="1" si="114"/>
        <v>54.582956022268966</v>
      </c>
      <c r="AH228" s="304">
        <f t="shared" ca="1" si="115"/>
        <v>64.335899442690973</v>
      </c>
    </row>
    <row r="229" spans="1:34" x14ac:dyDescent="0.2">
      <c r="A229" s="347">
        <f t="shared" ca="1" si="93"/>
        <v>0.01</v>
      </c>
      <c r="B229" s="304">
        <f t="shared" ca="1" si="94"/>
        <v>2.249999999999996</v>
      </c>
      <c r="D229" s="306">
        <f t="shared" ca="1" si="95"/>
        <v>6.9043660168414007</v>
      </c>
      <c r="E229" s="307">
        <f t="shared" ca="1" si="96"/>
        <v>53.89150141769187</v>
      </c>
      <c r="F229" s="304">
        <f t="shared" ca="1" si="97"/>
        <v>54.331981329117745</v>
      </c>
      <c r="G229" s="306">
        <f t="shared" ca="1" si="98"/>
        <v>19.314127788696947</v>
      </c>
      <c r="H229" s="307">
        <f t="shared" ca="1" si="99"/>
        <v>178.09913573635441</v>
      </c>
      <c r="I229" s="304">
        <f t="shared" ca="1" si="100"/>
        <v>179.14334395191608</v>
      </c>
      <c r="J229" s="306">
        <f t="shared" ca="1" si="101"/>
        <v>22.352163371477999</v>
      </c>
      <c r="K229" s="307">
        <f t="shared" ca="1" si="102"/>
        <v>218.09396792038007</v>
      </c>
      <c r="L229" s="304">
        <f t="shared" ca="1" si="87"/>
        <v>219.23639764108745</v>
      </c>
      <c r="M229" s="306">
        <f t="shared" ca="1" si="103"/>
        <v>1.4627725411048613</v>
      </c>
      <c r="N229" s="304">
        <f t="shared" ca="1" si="104"/>
        <v>83.810692992935287</v>
      </c>
      <c r="P229" s="310">
        <f t="shared" ca="1" si="105"/>
        <v>6</v>
      </c>
      <c r="Q229" s="304">
        <f t="shared" ca="1" si="106"/>
        <v>550.23000000000059</v>
      </c>
      <c r="R229" s="306">
        <f t="shared" ca="1" si="107"/>
        <v>0.2761348008375562</v>
      </c>
      <c r="S229" s="307">
        <f t="shared" ca="1" si="108"/>
        <v>7.0871848173554799</v>
      </c>
      <c r="T229" s="304">
        <f t="shared" ca="1" si="88"/>
        <v>69.525283058257259</v>
      </c>
      <c r="U229" s="311">
        <f t="shared" ca="1" si="89"/>
        <v>0</v>
      </c>
      <c r="V229" s="306">
        <f t="shared" ca="1" si="90"/>
        <v>1.1985716817691747</v>
      </c>
      <c r="W229" s="304">
        <f t="shared" ca="1" si="91"/>
        <v>96.690027738891771</v>
      </c>
      <c r="Y229" s="314" t="str">
        <f t="shared" ca="1" si="109"/>
        <v/>
      </c>
      <c r="Z229" s="315" t="str">
        <f t="shared" ca="1" si="110"/>
        <v/>
      </c>
      <c r="AA229" s="316" t="str">
        <f t="shared" ca="1" si="111"/>
        <v/>
      </c>
      <c r="AC229" s="310" t="e">
        <f t="shared" ca="1" si="112"/>
        <v>#N/A</v>
      </c>
      <c r="AD229" s="323" t="e">
        <f t="shared" ca="1" si="113"/>
        <v>#N/A</v>
      </c>
      <c r="AE229" s="324">
        <f t="shared" ca="1" si="92"/>
        <v>218.09396792038007</v>
      </c>
      <c r="AG229" s="306">
        <f t="shared" ca="1" si="114"/>
        <v>54.321697148782192</v>
      </c>
      <c r="AH229" s="304">
        <f t="shared" ca="1" si="115"/>
        <v>64.074578055284249</v>
      </c>
    </row>
    <row r="230" spans="1:34" x14ac:dyDescent="0.2">
      <c r="A230" s="347">
        <f t="shared" ca="1" si="93"/>
        <v>0.01</v>
      </c>
      <c r="B230" s="304">
        <f t="shared" ca="1" si="94"/>
        <v>2.2599999999999958</v>
      </c>
      <c r="D230" s="306">
        <f t="shared" ca="1" si="95"/>
        <v>6.8799412428786617</v>
      </c>
      <c r="E230" s="307">
        <f t="shared" ca="1" si="96"/>
        <v>53.631207528442872</v>
      </c>
      <c r="F230" s="304">
        <f t="shared" ca="1" si="97"/>
        <v>54.070694580931452</v>
      </c>
      <c r="G230" s="306">
        <f t="shared" ca="1" si="98"/>
        <v>19.382927201125735</v>
      </c>
      <c r="H230" s="307">
        <f t="shared" ca="1" si="99"/>
        <v>178.63544781163884</v>
      </c>
      <c r="I230" s="304">
        <f t="shared" ca="1" si="100"/>
        <v>179.6839477575804</v>
      </c>
      <c r="J230" s="306">
        <f t="shared" ca="1" si="101"/>
        <v>22.545648646427114</v>
      </c>
      <c r="K230" s="307">
        <f t="shared" ca="1" si="102"/>
        <v>219.87764083812004</v>
      </c>
      <c r="L230" s="304">
        <f t="shared" ca="1" si="87"/>
        <v>221.03050290271128</v>
      </c>
      <c r="M230" s="306">
        <f t="shared" ca="1" si="103"/>
        <v>1.462713679221908</v>
      </c>
      <c r="N230" s="304">
        <f t="shared" ca="1" si="104"/>
        <v>83.80732045546786</v>
      </c>
      <c r="P230" s="310">
        <f t="shared" ca="1" si="105"/>
        <v>6</v>
      </c>
      <c r="Q230" s="304">
        <f t="shared" ca="1" si="106"/>
        <v>548.77000000000055</v>
      </c>
      <c r="R230" s="306">
        <f t="shared" ca="1" si="107"/>
        <v>0.27540209486146833</v>
      </c>
      <c r="S230" s="307">
        <f t="shared" ca="1" si="108"/>
        <v>7.0844307964068651</v>
      </c>
      <c r="T230" s="304">
        <f t="shared" ca="1" si="88"/>
        <v>69.498266112751352</v>
      </c>
      <c r="U230" s="311">
        <f t="shared" ca="1" si="89"/>
        <v>0</v>
      </c>
      <c r="V230" s="306">
        <f t="shared" ca="1" si="90"/>
        <v>1.1983578892205866</v>
      </c>
      <c r="W230" s="304">
        <f t="shared" ca="1" si="91"/>
        <v>97.257123303629342</v>
      </c>
      <c r="Y230" s="314" t="str">
        <f t="shared" ca="1" si="109"/>
        <v/>
      </c>
      <c r="Z230" s="315" t="str">
        <f t="shared" ca="1" si="110"/>
        <v/>
      </c>
      <c r="AA230" s="316" t="str">
        <f t="shared" ca="1" si="111"/>
        <v/>
      </c>
      <c r="AC230" s="310" t="e">
        <f t="shared" ca="1" si="112"/>
        <v>#N/A</v>
      </c>
      <c r="AD230" s="323" t="e">
        <f t="shared" ca="1" si="113"/>
        <v>#N/A</v>
      </c>
      <c r="AE230" s="324">
        <f t="shared" ca="1" si="92"/>
        <v>219.87764083812004</v>
      </c>
      <c r="AG230" s="306">
        <f t="shared" ca="1" si="114"/>
        <v>54.060349438692285</v>
      </c>
      <c r="AH230" s="304">
        <f t="shared" ca="1" si="115"/>
        <v>63.813167952801244</v>
      </c>
    </row>
    <row r="231" spans="1:34" x14ac:dyDescent="0.2">
      <c r="A231" s="347">
        <f t="shared" ca="1" si="93"/>
        <v>0.01</v>
      </c>
      <c r="B231" s="304">
        <f t="shared" ca="1" si="94"/>
        <v>2.2699999999999956</v>
      </c>
      <c r="D231" s="306">
        <f t="shared" ca="1" si="95"/>
        <v>6.8554674943208598</v>
      </c>
      <c r="E231" s="307">
        <f t="shared" ca="1" si="96"/>
        <v>53.370833993691861</v>
      </c>
      <c r="F231" s="304">
        <f t="shared" ca="1" si="97"/>
        <v>53.809324059570798</v>
      </c>
      <c r="G231" s="306">
        <f t="shared" ca="1" si="98"/>
        <v>19.451481876068943</v>
      </c>
      <c r="H231" s="307">
        <f t="shared" ca="1" si="99"/>
        <v>179.16915615157575</v>
      </c>
      <c r="I231" s="304">
        <f t="shared" ca="1" si="100"/>
        <v>180.2219372419539</v>
      </c>
      <c r="J231" s="306">
        <f t="shared" ca="1" si="101"/>
        <v>22.739820691813087</v>
      </c>
      <c r="K231" s="307">
        <f t="shared" ca="1" si="102"/>
        <v>221.66666385793613</v>
      </c>
      <c r="L231" s="304">
        <f t="shared" ca="1" si="87"/>
        <v>222.83000092223455</v>
      </c>
      <c r="M231" s="306">
        <f t="shared" ca="1" si="103"/>
        <v>1.4626549611971342</v>
      </c>
      <c r="N231" s="304">
        <f t="shared" ca="1" si="104"/>
        <v>83.803956160466981</v>
      </c>
      <c r="P231" s="310">
        <f t="shared" ca="1" si="105"/>
        <v>6</v>
      </c>
      <c r="Q231" s="304">
        <f t="shared" ca="1" si="106"/>
        <v>547.31000000000063</v>
      </c>
      <c r="R231" s="306">
        <f t="shared" ca="1" si="107"/>
        <v>0.27466938888538045</v>
      </c>
      <c r="S231" s="307">
        <f t="shared" ca="1" si="108"/>
        <v>7.0816841025180111</v>
      </c>
      <c r="T231" s="304">
        <f t="shared" ca="1" si="88"/>
        <v>69.471321045701686</v>
      </c>
      <c r="U231" s="311">
        <f t="shared" ca="1" si="89"/>
        <v>0</v>
      </c>
      <c r="V231" s="306">
        <f t="shared" ca="1" si="90"/>
        <v>1.1981434932896706</v>
      </c>
      <c r="W231" s="304">
        <f t="shared" ca="1" si="91"/>
        <v>97.822883431927778</v>
      </c>
      <c r="Y231" s="314" t="str">
        <f t="shared" ca="1" si="109"/>
        <v/>
      </c>
      <c r="Z231" s="315" t="str">
        <f t="shared" ca="1" si="110"/>
        <v/>
      </c>
      <c r="AA231" s="316" t="str">
        <f t="shared" ca="1" si="111"/>
        <v/>
      </c>
      <c r="AC231" s="310" t="e">
        <f t="shared" ca="1" si="112"/>
        <v>#N/A</v>
      </c>
      <c r="AD231" s="323" t="e">
        <f t="shared" ca="1" si="113"/>
        <v>#N/A</v>
      </c>
      <c r="AE231" s="324">
        <f t="shared" ca="1" si="92"/>
        <v>221.66666385793613</v>
      </c>
      <c r="AG231" s="306">
        <f t="shared" ca="1" si="114"/>
        <v>53.798917368833628</v>
      </c>
      <c r="AH231" s="304">
        <f t="shared" ca="1" si="115"/>
        <v>63.551673610567789</v>
      </c>
    </row>
    <row r="232" spans="1:34" x14ac:dyDescent="0.2">
      <c r="A232" s="347">
        <f t="shared" ca="1" si="93"/>
        <v>0.01</v>
      </c>
      <c r="B232" s="304">
        <f t="shared" ca="1" si="94"/>
        <v>2.2799999999999954</v>
      </c>
      <c r="D232" s="306">
        <f t="shared" ca="1" si="95"/>
        <v>6.8309454548113413</v>
      </c>
      <c r="E232" s="307">
        <f t="shared" ca="1" si="96"/>
        <v>53.11038522585477</v>
      </c>
      <c r="F232" s="304">
        <f t="shared" ca="1" si="97"/>
        <v>53.547874230872139</v>
      </c>
      <c r="G232" s="306">
        <f t="shared" ca="1" si="98"/>
        <v>19.519791330617057</v>
      </c>
      <c r="H232" s="307">
        <f t="shared" ca="1" si="99"/>
        <v>179.7002600038343</v>
      </c>
      <c r="I232" s="304">
        <f t="shared" ca="1" si="100"/>
        <v>180.75731160602186</v>
      </c>
      <c r="J232" s="306">
        <f t="shared" ca="1" si="101"/>
        <v>22.934677057846518</v>
      </c>
      <c r="K232" s="307">
        <f t="shared" ca="1" si="102"/>
        <v>223.46101093871317</v>
      </c>
      <c r="L232" s="304">
        <f t="shared" ca="1" si="87"/>
        <v>224.63486555185372</v>
      </c>
      <c r="M232" s="306">
        <f t="shared" ca="1" si="103"/>
        <v>1.462596385404602</v>
      </c>
      <c r="N232" s="304">
        <f t="shared" ca="1" si="104"/>
        <v>83.800600014773252</v>
      </c>
      <c r="P232" s="310">
        <f t="shared" ca="1" si="105"/>
        <v>6</v>
      </c>
      <c r="Q232" s="304">
        <f t="shared" ca="1" si="106"/>
        <v>545.8500000000007</v>
      </c>
      <c r="R232" s="306">
        <f t="shared" ca="1" si="107"/>
        <v>0.27393668290929263</v>
      </c>
      <c r="S232" s="307">
        <f t="shared" ca="1" si="108"/>
        <v>7.0789447356889177</v>
      </c>
      <c r="T232" s="304">
        <f t="shared" ca="1" si="88"/>
        <v>69.444447857108287</v>
      </c>
      <c r="U232" s="311">
        <f t="shared" ca="1" si="89"/>
        <v>0</v>
      </c>
      <c r="V232" s="306">
        <f t="shared" ca="1" si="90"/>
        <v>1.1979284974266413</v>
      </c>
      <c r="W232" s="304">
        <f t="shared" ca="1" si="91"/>
        <v>98.387281823269831</v>
      </c>
      <c r="Y232" s="314" t="str">
        <f t="shared" ca="1" si="109"/>
        <v/>
      </c>
      <c r="Z232" s="315" t="str">
        <f t="shared" ca="1" si="110"/>
        <v/>
      </c>
      <c r="AA232" s="316" t="str">
        <f t="shared" ca="1" si="111"/>
        <v/>
      </c>
      <c r="AC232" s="310" t="e">
        <f t="shared" ca="1" si="112"/>
        <v>#N/A</v>
      </c>
      <c r="AD232" s="323" t="e">
        <f t="shared" ca="1" si="113"/>
        <v>#N/A</v>
      </c>
      <c r="AE232" s="324">
        <f t="shared" ca="1" si="92"/>
        <v>223.46101093871317</v>
      </c>
      <c r="AG232" s="306">
        <f t="shared" ca="1" si="114"/>
        <v>53.537405396761493</v>
      </c>
      <c r="AH232" s="304">
        <f t="shared" ca="1" si="115"/>
        <v>63.290099484647449</v>
      </c>
    </row>
    <row r="233" spans="1:34" x14ac:dyDescent="0.2">
      <c r="A233" s="347">
        <f t="shared" ca="1" si="93"/>
        <v>0.01</v>
      </c>
      <c r="B233" s="304">
        <f t="shared" ca="1" si="94"/>
        <v>2.2899999999999952</v>
      </c>
      <c r="D233" s="306">
        <f t="shared" ca="1" si="95"/>
        <v>6.8063758040484705</v>
      </c>
      <c r="E233" s="307">
        <f t="shared" ca="1" si="96"/>
        <v>52.849865618176828</v>
      </c>
      <c r="F233" s="304">
        <f t="shared" ca="1" si="97"/>
        <v>53.28634954137209</v>
      </c>
      <c r="G233" s="306">
        <f t="shared" ca="1" si="98"/>
        <v>19.587855088657541</v>
      </c>
      <c r="H233" s="307">
        <f t="shared" ca="1" si="99"/>
        <v>180.22875866001607</v>
      </c>
      <c r="I233" s="304">
        <f t="shared" ca="1" si="100"/>
        <v>181.29007009515044</v>
      </c>
      <c r="J233" s="306">
        <f t="shared" ca="1" si="101"/>
        <v>23.130215289942889</v>
      </c>
      <c r="K233" s="307">
        <f t="shared" ca="1" si="102"/>
        <v>225.26065603203241</v>
      </c>
      <c r="L233" s="304">
        <f t="shared" ca="1" si="87"/>
        <v>226.44507063599491</v>
      </c>
      <c r="M233" s="306">
        <f t="shared" ca="1" si="103"/>
        <v>1.4625379502378142</v>
      </c>
      <c r="N233" s="304">
        <f t="shared" ca="1" si="104"/>
        <v>83.797251926341161</v>
      </c>
      <c r="P233" s="310">
        <f t="shared" ca="1" si="105"/>
        <v>6</v>
      </c>
      <c r="Q233" s="304">
        <f t="shared" ca="1" si="106"/>
        <v>544.39000000000067</v>
      </c>
      <c r="R233" s="306">
        <f t="shared" ca="1" si="107"/>
        <v>0.27320397693320475</v>
      </c>
      <c r="S233" s="307">
        <f t="shared" ca="1" si="108"/>
        <v>7.0762126959195859</v>
      </c>
      <c r="T233" s="304">
        <f t="shared" ca="1" si="88"/>
        <v>69.417646546971142</v>
      </c>
      <c r="U233" s="311">
        <f t="shared" ca="1" si="89"/>
        <v>0</v>
      </c>
      <c r="V233" s="306">
        <f t="shared" ca="1" si="90"/>
        <v>1.197712905081207</v>
      </c>
      <c r="W233" s="304">
        <f t="shared" ca="1" si="91"/>
        <v>98.950292367622311</v>
      </c>
      <c r="Y233" s="314" t="str">
        <f t="shared" ca="1" si="109"/>
        <v/>
      </c>
      <c r="Z233" s="315" t="str">
        <f t="shared" ca="1" si="110"/>
        <v/>
      </c>
      <c r="AA233" s="316" t="str">
        <f t="shared" ca="1" si="111"/>
        <v/>
      </c>
      <c r="AC233" s="310" t="e">
        <f t="shared" ca="1" si="112"/>
        <v>#N/A</v>
      </c>
      <c r="AD233" s="323" t="e">
        <f t="shared" ca="1" si="113"/>
        <v>#N/A</v>
      </c>
      <c r="AE233" s="324">
        <f t="shared" ca="1" si="92"/>
        <v>225.26065603203241</v>
      </c>
      <c r="AG233" s="306">
        <f t="shared" ca="1" si="114"/>
        <v>53.275817960583382</v>
      </c>
      <c r="AH233" s="304">
        <f t="shared" ca="1" si="115"/>
        <v>63.028450011672625</v>
      </c>
    </row>
    <row r="234" spans="1:34" x14ac:dyDescent="0.2">
      <c r="A234" s="347">
        <f t="shared" ca="1" si="93"/>
        <v>0.01</v>
      </c>
      <c r="B234" s="304">
        <f t="shared" ca="1" si="94"/>
        <v>2.2999999999999949</v>
      </c>
      <c r="D234" s="306">
        <f t="shared" ca="1" si="95"/>
        <v>6.7817592178019117</v>
      </c>
      <c r="E234" s="307">
        <f t="shared" ca="1" si="96"/>
        <v>52.589279544564427</v>
      </c>
      <c r="F234" s="304">
        <f t="shared" ca="1" si="97"/>
        <v>53.024754418144965</v>
      </c>
      <c r="G234" s="306">
        <f t="shared" ca="1" si="98"/>
        <v>19.655672680835561</v>
      </c>
      <c r="H234" s="307">
        <f t="shared" ca="1" si="99"/>
        <v>180.75465145546173</v>
      </c>
      <c r="I234" s="304">
        <f t="shared" ca="1" si="100"/>
        <v>181.82021199889081</v>
      </c>
      <c r="J234" s="306">
        <f t="shared" ca="1" si="101"/>
        <v>23.326432928790354</v>
      </c>
      <c r="K234" s="307">
        <f t="shared" ca="1" si="102"/>
        <v>227.0655730826098</v>
      </c>
      <c r="L234" s="304">
        <f t="shared" ca="1" si="87"/>
        <v>228.26059001175688</v>
      </c>
      <c r="M234" s="306">
        <f t="shared" ca="1" si="103"/>
        <v>1.4624796541093741</v>
      </c>
      <c r="N234" s="304">
        <f t="shared" ca="1" si="104"/>
        <v>83.793911804219604</v>
      </c>
      <c r="P234" s="310">
        <f t="shared" ca="1" si="105"/>
        <v>6</v>
      </c>
      <c r="Q234" s="304">
        <f t="shared" ca="1" si="106"/>
        <v>542.93000000000075</v>
      </c>
      <c r="R234" s="306">
        <f t="shared" ca="1" si="107"/>
        <v>0.27247127095711693</v>
      </c>
      <c r="S234" s="307">
        <f t="shared" ca="1" si="108"/>
        <v>7.0734879832100148</v>
      </c>
      <c r="T234" s="304">
        <f t="shared" ca="1" si="88"/>
        <v>69.39091711529025</v>
      </c>
      <c r="U234" s="311">
        <f t="shared" ca="1" si="89"/>
        <v>0</v>
      </c>
      <c r="V234" s="306">
        <f t="shared" ca="1" si="90"/>
        <v>1.1974967197025004</v>
      </c>
      <c r="W234" s="304">
        <f t="shared" ca="1" si="91"/>
        <v>99.511889146001977</v>
      </c>
      <c r="Y234" s="314" t="str">
        <f t="shared" ca="1" si="109"/>
        <v/>
      </c>
      <c r="Z234" s="315" t="str">
        <f t="shared" ca="1" si="110"/>
        <v/>
      </c>
      <c r="AA234" s="316" t="str">
        <f t="shared" ca="1" si="111"/>
        <v/>
      </c>
      <c r="AC234" s="310" t="e">
        <f t="shared" ca="1" si="112"/>
        <v>#N/A</v>
      </c>
      <c r="AD234" s="323" t="e">
        <f t="shared" ca="1" si="113"/>
        <v>#N/A</v>
      </c>
      <c r="AE234" s="324">
        <f t="shared" ca="1" si="92"/>
        <v>227.0655730826098</v>
      </c>
      <c r="AG234" s="306">
        <f t="shared" ca="1" si="114"/>
        <v>53.014159478793147</v>
      </c>
      <c r="AH234" s="304">
        <f t="shared" ca="1" si="115"/>
        <v>62.76672960867834</v>
      </c>
    </row>
    <row r="235" spans="1:34" x14ac:dyDescent="0.2">
      <c r="A235" s="347">
        <f t="shared" ca="1" si="93"/>
        <v>0.01</v>
      </c>
      <c r="B235" s="304">
        <f t="shared" ca="1" si="94"/>
        <v>2.3099999999999947</v>
      </c>
      <c r="D235" s="306">
        <f t="shared" ca="1" si="95"/>
        <v>6.7570963679283524</v>
      </c>
      <c r="E235" s="307">
        <f t="shared" ca="1" si="96"/>
        <v>52.328631359419568</v>
      </c>
      <c r="F235" s="304">
        <f t="shared" ca="1" si="97"/>
        <v>52.763093268642805</v>
      </c>
      <c r="G235" s="306">
        <f t="shared" ca="1" si="98"/>
        <v>19.723243644514845</v>
      </c>
      <c r="H235" s="307">
        <f t="shared" ca="1" si="99"/>
        <v>181.27793776905591</v>
      </c>
      <c r="I235" s="304">
        <f t="shared" ca="1" si="100"/>
        <v>182.34773665078106</v>
      </c>
      <c r="J235" s="306">
        <f t="shared" ca="1" si="101"/>
        <v>23.523327510417104</v>
      </c>
      <c r="K235" s="307">
        <f t="shared" ca="1" si="102"/>
        <v>228.87573602873238</v>
      </c>
      <c r="L235" s="304">
        <f t="shared" ca="1" si="87"/>
        <v>230.08139750935172</v>
      </c>
      <c r="M235" s="306">
        <f t="shared" ca="1" si="103"/>
        <v>1.4624214954506529</v>
      </c>
      <c r="N235" s="304">
        <f t="shared" ca="1" si="104"/>
        <v>83.790579558532727</v>
      </c>
      <c r="P235" s="310">
        <f t="shared" ca="1" si="105"/>
        <v>6</v>
      </c>
      <c r="Q235" s="304">
        <f t="shared" ca="1" si="106"/>
        <v>541.47000000000071</v>
      </c>
      <c r="R235" s="306">
        <f t="shared" ca="1" si="107"/>
        <v>0.271738564981029</v>
      </c>
      <c r="S235" s="307">
        <f t="shared" ca="1" si="108"/>
        <v>7.0707705975602044</v>
      </c>
      <c r="T235" s="304">
        <f t="shared" ca="1" si="88"/>
        <v>69.364259562065612</v>
      </c>
      <c r="U235" s="311">
        <f t="shared" ca="1" si="89"/>
        <v>0</v>
      </c>
      <c r="V235" s="306">
        <f t="shared" ca="1" si="90"/>
        <v>1.1972799447390112</v>
      </c>
      <c r="W235" s="304">
        <f t="shared" ca="1" si="91"/>
        <v>100.07204643102135</v>
      </c>
      <c r="Y235" s="314" t="str">
        <f t="shared" ca="1" si="109"/>
        <v/>
      </c>
      <c r="Z235" s="315" t="str">
        <f t="shared" ca="1" si="110"/>
        <v/>
      </c>
      <c r="AA235" s="316" t="str">
        <f t="shared" ca="1" si="111"/>
        <v/>
      </c>
      <c r="AC235" s="310" t="e">
        <f t="shared" ca="1" si="112"/>
        <v>#N/A</v>
      </c>
      <c r="AD235" s="323" t="e">
        <f t="shared" ca="1" si="113"/>
        <v>#N/A</v>
      </c>
      <c r="AE235" s="324">
        <f t="shared" ca="1" si="92"/>
        <v>228.87573602873238</v>
      </c>
      <c r="AG235" s="306">
        <f t="shared" ca="1" si="114"/>
        <v>52.752434350107364</v>
      </c>
      <c r="AH235" s="304">
        <f t="shared" ca="1" si="115"/>
        <v>62.50494267293837</v>
      </c>
    </row>
    <row r="236" spans="1:34" x14ac:dyDescent="0.2">
      <c r="A236" s="347">
        <f t="shared" ca="1" si="93"/>
        <v>0.01</v>
      </c>
      <c r="B236" s="304">
        <f t="shared" ca="1" si="94"/>
        <v>2.3199999999999945</v>
      </c>
      <c r="D236" s="306">
        <f t="shared" ca="1" si="95"/>
        <v>6.7323879223867085</v>
      </c>
      <c r="E236" s="307">
        <f t="shared" ca="1" si="96"/>
        <v>52.067925397477438</v>
      </c>
      <c r="F236" s="304">
        <f t="shared" ca="1" si="97"/>
        <v>52.501370480538647</v>
      </c>
      <c r="G236" s="306">
        <f t="shared" ca="1" si="98"/>
        <v>19.790567523738712</v>
      </c>
      <c r="H236" s="307">
        <f t="shared" ca="1" si="99"/>
        <v>181.79861702303069</v>
      </c>
      <c r="I236" s="304">
        <f t="shared" ca="1" si="100"/>
        <v>182.87264342814711</v>
      </c>
      <c r="J236" s="306">
        <f t="shared" ca="1" si="101"/>
        <v>23.720896566258372</v>
      </c>
      <c r="K236" s="307">
        <f t="shared" ca="1" si="102"/>
        <v>230.69111880269281</v>
      </c>
      <c r="L236" s="304">
        <f t="shared" ca="1" si="87"/>
        <v>231.90746695254393</v>
      </c>
      <c r="M236" s="306">
        <f t="shared" ca="1" si="103"/>
        <v>1.4623634727114636</v>
      </c>
      <c r="N236" s="304">
        <f t="shared" ca="1" si="104"/>
        <v>83.787255100461394</v>
      </c>
      <c r="P236" s="310">
        <f t="shared" ca="1" si="105"/>
        <v>6</v>
      </c>
      <c r="Q236" s="304">
        <f t="shared" ca="1" si="106"/>
        <v>540.01000000000079</v>
      </c>
      <c r="R236" s="306">
        <f t="shared" ca="1" si="107"/>
        <v>0.27100585900494117</v>
      </c>
      <c r="S236" s="307">
        <f t="shared" ca="1" si="108"/>
        <v>7.0680605389701547</v>
      </c>
      <c r="T236" s="304">
        <f t="shared" ca="1" si="88"/>
        <v>69.337673887297228</v>
      </c>
      <c r="U236" s="311">
        <f t="shared" ca="1" si="89"/>
        <v>0</v>
      </c>
      <c r="V236" s="306">
        <f t="shared" ca="1" si="90"/>
        <v>1.1970625836385145</v>
      </c>
      <c r="W236" s="304">
        <f t="shared" ca="1" si="91"/>
        <v>100.63073868741532</v>
      </c>
      <c r="Y236" s="314" t="str">
        <f t="shared" ca="1" si="109"/>
        <v/>
      </c>
      <c r="Z236" s="315" t="str">
        <f t="shared" ca="1" si="110"/>
        <v/>
      </c>
      <c r="AA236" s="316" t="str">
        <f t="shared" ca="1" si="111"/>
        <v/>
      </c>
      <c r="AC236" s="310" t="e">
        <f t="shared" ca="1" si="112"/>
        <v>#N/A</v>
      </c>
      <c r="AD236" s="323" t="e">
        <f t="shared" ca="1" si="113"/>
        <v>#N/A</v>
      </c>
      <c r="AE236" s="324">
        <f t="shared" ca="1" si="92"/>
        <v>230.69111880269281</v>
      </c>
      <c r="AG236" s="306">
        <f t="shared" ca="1" si="114"/>
        <v>52.490646953304996</v>
      </c>
      <c r="AH236" s="304">
        <f t="shared" ca="1" si="115"/>
        <v>62.243093581804573</v>
      </c>
    </row>
    <row r="237" spans="1:34" x14ac:dyDescent="0.2">
      <c r="A237" s="347">
        <f t="shared" ca="1" si="93"/>
        <v>0.01</v>
      </c>
      <c r="B237" s="304">
        <f t="shared" ca="1" si="94"/>
        <v>2.3299999999999943</v>
      </c>
      <c r="D237" s="306">
        <f t="shared" ca="1" si="95"/>
        <v>6.7076345452527937</v>
      </c>
      <c r="E237" s="307">
        <f t="shared" ca="1" si="96"/>
        <v>51.807165973646363</v>
      </c>
      <c r="F237" s="304">
        <f t="shared" ca="1" si="97"/>
        <v>52.239590421572132</v>
      </c>
      <c r="G237" s="306">
        <f t="shared" ca="1" si="98"/>
        <v>19.857643869191239</v>
      </c>
      <c r="H237" s="307">
        <f t="shared" ca="1" si="99"/>
        <v>182.31668868276716</v>
      </c>
      <c r="I237" s="304">
        <f t="shared" ca="1" si="100"/>
        <v>183.39493175190168</v>
      </c>
      <c r="J237" s="306">
        <f t="shared" ca="1" si="101"/>
        <v>23.919137623223023</v>
      </c>
      <c r="K237" s="307">
        <f t="shared" ca="1" si="102"/>
        <v>232.5116953312218</v>
      </c>
      <c r="L237" s="304">
        <f t="shared" ca="1" si="87"/>
        <v>233.73877215908701</v>
      </c>
      <c r="M237" s="306">
        <f t="shared" ca="1" si="103"/>
        <v>1.4623055843597415</v>
      </c>
      <c r="N237" s="304">
        <f t="shared" ca="1" si="104"/>
        <v>83.783938342224744</v>
      </c>
      <c r="P237" s="310">
        <f t="shared" ca="1" si="105"/>
        <v>6</v>
      </c>
      <c r="Q237" s="304">
        <f t="shared" ca="1" si="106"/>
        <v>538.55000000000086</v>
      </c>
      <c r="R237" s="306">
        <f t="shared" ca="1" si="107"/>
        <v>0.27027315302885335</v>
      </c>
      <c r="S237" s="307">
        <f t="shared" ca="1" si="108"/>
        <v>7.0653578074398666</v>
      </c>
      <c r="T237" s="304">
        <f t="shared" ca="1" si="88"/>
        <v>69.311160090985098</v>
      </c>
      <c r="U237" s="311">
        <f t="shared" ca="1" si="89"/>
        <v>0</v>
      </c>
      <c r="V237" s="306">
        <f t="shared" ca="1" si="90"/>
        <v>1.1968446398480057</v>
      </c>
      <c r="W237" s="304">
        <f t="shared" ca="1" si="91"/>
        <v>101.18794057254854</v>
      </c>
      <c r="Y237" s="314" t="str">
        <f t="shared" ca="1" si="109"/>
        <v/>
      </c>
      <c r="Z237" s="315" t="str">
        <f t="shared" ca="1" si="110"/>
        <v/>
      </c>
      <c r="AA237" s="316" t="str">
        <f t="shared" ca="1" si="111"/>
        <v/>
      </c>
      <c r="AC237" s="310" t="e">
        <f t="shared" ca="1" si="112"/>
        <v>#N/A</v>
      </c>
      <c r="AD237" s="323" t="e">
        <f t="shared" ca="1" si="113"/>
        <v>#N/A</v>
      </c>
      <c r="AE237" s="324">
        <f t="shared" ca="1" si="92"/>
        <v>232.5116953312218</v>
      </c>
      <c r="AG237" s="306">
        <f t="shared" ca="1" si="114"/>
        <v>52.228801647069204</v>
      </c>
      <c r="AH237" s="304">
        <f t="shared" ca="1" si="115"/>
        <v>61.981186692548505</v>
      </c>
    </row>
    <row r="238" spans="1:34" x14ac:dyDescent="0.2">
      <c r="A238" s="347">
        <f t="shared" ca="1" si="93"/>
        <v>0.01</v>
      </c>
      <c r="B238" s="304">
        <f t="shared" ca="1" si="94"/>
        <v>2.3399999999999941</v>
      </c>
      <c r="D238" s="306">
        <f t="shared" ca="1" si="95"/>
        <v>6.6828368967335061</v>
      </c>
      <c r="E238" s="307">
        <f t="shared" ca="1" si="96"/>
        <v>51.546357382850687</v>
      </c>
      <c r="F238" s="304">
        <f t="shared" ca="1" si="97"/>
        <v>51.97775743939814</v>
      </c>
      <c r="G238" s="306">
        <f t="shared" ca="1" si="98"/>
        <v>19.924472238158575</v>
      </c>
      <c r="H238" s="307">
        <f t="shared" ca="1" si="99"/>
        <v>182.83215225659566</v>
      </c>
      <c r="I238" s="304">
        <f t="shared" ca="1" si="100"/>
        <v>183.91460108634152</v>
      </c>
      <c r="J238" s="306">
        <f t="shared" ca="1" si="101"/>
        <v>24.118048203759773</v>
      </c>
      <c r="K238" s="307">
        <f t="shared" ca="1" si="102"/>
        <v>234.33743953591861</v>
      </c>
      <c r="L238" s="304">
        <f t="shared" ca="1" si="87"/>
        <v>235.57528694115857</v>
      </c>
      <c r="M238" s="306">
        <f t="shared" ca="1" si="103"/>
        <v>1.4622478288812331</v>
      </c>
      <c r="N238" s="304">
        <f t="shared" ca="1" si="104"/>
        <v>83.780629197062453</v>
      </c>
      <c r="P238" s="310">
        <f t="shared" ca="1" si="105"/>
        <v>6</v>
      </c>
      <c r="Q238" s="304">
        <f t="shared" ca="1" si="106"/>
        <v>537.09000000000083</v>
      </c>
      <c r="R238" s="306">
        <f t="shared" ca="1" si="107"/>
        <v>0.26954044705276542</v>
      </c>
      <c r="S238" s="307">
        <f t="shared" ca="1" si="108"/>
        <v>7.0626624029693392</v>
      </c>
      <c r="T238" s="304">
        <f t="shared" ca="1" si="88"/>
        <v>69.284718173129221</v>
      </c>
      <c r="U238" s="311">
        <f t="shared" ca="1" si="89"/>
        <v>0</v>
      </c>
      <c r="V238" s="306">
        <f t="shared" ca="1" si="90"/>
        <v>1.1966261168136294</v>
      </c>
      <c r="W238" s="304">
        <f t="shared" ca="1" si="91"/>
        <v>101.74362693690297</v>
      </c>
      <c r="Y238" s="314" t="str">
        <f t="shared" ca="1" si="109"/>
        <v/>
      </c>
      <c r="Z238" s="315" t="str">
        <f t="shared" ca="1" si="110"/>
        <v/>
      </c>
      <c r="AA238" s="316" t="str">
        <f t="shared" ca="1" si="111"/>
        <v/>
      </c>
      <c r="AC238" s="310" t="e">
        <f t="shared" ca="1" si="112"/>
        <v>#N/A</v>
      </c>
      <c r="AD238" s="323" t="e">
        <f t="shared" ca="1" si="113"/>
        <v>#N/A</v>
      </c>
      <c r="AE238" s="324">
        <f t="shared" ca="1" si="92"/>
        <v>234.33743953591861</v>
      </c>
      <c r="AG238" s="306">
        <f t="shared" ca="1" si="114"/>
        <v>51.966902769832117</v>
      </c>
      <c r="AH238" s="304">
        <f t="shared" ca="1" si="115"/>
        <v>61.719226342205872</v>
      </c>
    </row>
    <row r="239" spans="1:34" x14ac:dyDescent="0.2">
      <c r="A239" s="347">
        <f t="shared" ca="1" si="93"/>
        <v>0.01</v>
      </c>
      <c r="B239" s="304">
        <f t="shared" ca="1" si="94"/>
        <v>2.3499999999999939</v>
      </c>
      <c r="D239" s="306">
        <f t="shared" ca="1" si="95"/>
        <v>6.6579956331804553</v>
      </c>
      <c r="E239" s="307">
        <f t="shared" ca="1" si="96"/>
        <v>51.285503899876495</v>
      </c>
      <c r="F239" s="304">
        <f t="shared" ca="1" si="97"/>
        <v>51.715875861438306</v>
      </c>
      <c r="G239" s="306">
        <f t="shared" ca="1" si="98"/>
        <v>19.991052194490379</v>
      </c>
      <c r="H239" s="307">
        <f t="shared" ca="1" si="99"/>
        <v>183.34500729559443</v>
      </c>
      <c r="I239" s="304">
        <f t="shared" ca="1" si="100"/>
        <v>184.43165093894382</v>
      </c>
      <c r="J239" s="306">
        <f t="shared" ca="1" si="101"/>
        <v>24.317625825923017</v>
      </c>
      <c r="K239" s="307">
        <f t="shared" ca="1" si="102"/>
        <v>236.16832533367955</v>
      </c>
      <c r="L239" s="304">
        <f t="shared" ca="1" si="87"/>
        <v>237.41698510579295</v>
      </c>
      <c r="M239" s="306">
        <f t="shared" ca="1" si="103"/>
        <v>1.462190204779189</v>
      </c>
      <c r="N239" s="304">
        <f t="shared" ca="1" si="104"/>
        <v>83.777327579217101</v>
      </c>
      <c r="P239" s="310">
        <f t="shared" ca="1" si="105"/>
        <v>6</v>
      </c>
      <c r="Q239" s="304">
        <f t="shared" ca="1" si="106"/>
        <v>535.6300000000009</v>
      </c>
      <c r="R239" s="306">
        <f t="shared" ca="1" si="107"/>
        <v>0.2688077410766776</v>
      </c>
      <c r="S239" s="307">
        <f t="shared" ca="1" si="108"/>
        <v>7.0599743255585725</v>
      </c>
      <c r="T239" s="304">
        <f t="shared" ca="1" si="88"/>
        <v>69.258348133729598</v>
      </c>
      <c r="U239" s="311">
        <f t="shared" ca="1" si="89"/>
        <v>0</v>
      </c>
      <c r="V239" s="306">
        <f t="shared" ca="1" si="90"/>
        <v>1.1964070179806154</v>
      </c>
      <c r="W239" s="304">
        <f t="shared" ca="1" si="91"/>
        <v>102.29777282454731</v>
      </c>
      <c r="Y239" s="314" t="str">
        <f t="shared" ca="1" si="109"/>
        <v/>
      </c>
      <c r="Z239" s="315" t="str">
        <f t="shared" ca="1" si="110"/>
        <v/>
      </c>
      <c r="AA239" s="316" t="str">
        <f t="shared" ca="1" si="111"/>
        <v/>
      </c>
      <c r="AC239" s="310" t="e">
        <f t="shared" ca="1" si="112"/>
        <v>#N/A</v>
      </c>
      <c r="AD239" s="323" t="e">
        <f t="shared" ca="1" si="113"/>
        <v>#N/A</v>
      </c>
      <c r="AE239" s="324">
        <f t="shared" ca="1" si="92"/>
        <v>236.16832533367955</v>
      </c>
      <c r="AG239" s="306">
        <f t="shared" ca="1" si="114"/>
        <v>51.7049546396224</v>
      </c>
      <c r="AH239" s="304">
        <f t="shared" ca="1" si="115"/>
        <v>61.457216847423823</v>
      </c>
    </row>
    <row r="240" spans="1:34" x14ac:dyDescent="0.2">
      <c r="A240" s="347">
        <f t="shared" ca="1" si="93"/>
        <v>0.01</v>
      </c>
      <c r="B240" s="304">
        <f t="shared" ca="1" si="94"/>
        <v>2.3599999999999937</v>
      </c>
      <c r="D240" s="306">
        <f t="shared" ca="1" si="95"/>
        <v>6.6331114071032475</v>
      </c>
      <c r="E240" s="307">
        <f t="shared" ca="1" si="96"/>
        <v>51.024609779219652</v>
      </c>
      <c r="F240" s="304">
        <f t="shared" ca="1" si="97"/>
        <v>51.453949994734913</v>
      </c>
      <c r="G240" s="306">
        <f t="shared" ca="1" si="98"/>
        <v>20.057383308561413</v>
      </c>
      <c r="H240" s="307">
        <f t="shared" ca="1" si="99"/>
        <v>183.85525339338662</v>
      </c>
      <c r="I240" s="304">
        <f t="shared" ca="1" si="100"/>
        <v>184.94608086016032</v>
      </c>
      <c r="J240" s="306">
        <f t="shared" ca="1" si="101"/>
        <v>24.517868003438277</v>
      </c>
      <c r="K240" s="307">
        <f t="shared" ca="1" si="102"/>
        <v>238.00432663712445</v>
      </c>
      <c r="L240" s="304">
        <f t="shared" ca="1" si="87"/>
        <v>239.26384045531211</v>
      </c>
      <c r="M240" s="306">
        <f t="shared" ca="1" si="103"/>
        <v>1.462132710574066</v>
      </c>
      <c r="N240" s="304">
        <f t="shared" ca="1" si="104"/>
        <v>83.774033403917102</v>
      </c>
      <c r="P240" s="310">
        <f t="shared" ca="1" si="105"/>
        <v>6</v>
      </c>
      <c r="Q240" s="304">
        <f t="shared" ca="1" si="106"/>
        <v>534.17000000000087</v>
      </c>
      <c r="R240" s="306">
        <f t="shared" ca="1" si="107"/>
        <v>0.26807503510058972</v>
      </c>
      <c r="S240" s="307">
        <f t="shared" ca="1" si="108"/>
        <v>7.0572935752075665</v>
      </c>
      <c r="T240" s="304">
        <f t="shared" ca="1" si="88"/>
        <v>69.232049972786228</v>
      </c>
      <c r="U240" s="311">
        <f t="shared" ca="1" si="89"/>
        <v>0</v>
      </c>
      <c r="V240" s="306">
        <f t="shared" ca="1" si="90"/>
        <v>1.1961873467932078</v>
      </c>
      <c r="W240" s="304">
        <f t="shared" ca="1" si="91"/>
        <v>102.85035347358622</v>
      </c>
      <c r="Y240" s="314" t="str">
        <f t="shared" ca="1" si="109"/>
        <v/>
      </c>
      <c r="Z240" s="315" t="str">
        <f t="shared" ca="1" si="110"/>
        <v/>
      </c>
      <c r="AA240" s="316" t="str">
        <f t="shared" ca="1" si="111"/>
        <v/>
      </c>
      <c r="AC240" s="310" t="e">
        <f t="shared" ca="1" si="112"/>
        <v>#N/A</v>
      </c>
      <c r="AD240" s="323" t="e">
        <f t="shared" ca="1" si="113"/>
        <v>#N/A</v>
      </c>
      <c r="AE240" s="324">
        <f t="shared" ca="1" si="92"/>
        <v>238.00432663712445</v>
      </c>
      <c r="AG240" s="306">
        <f t="shared" ca="1" si="114"/>
        <v>51.442961553914998</v>
      </c>
      <c r="AH240" s="304">
        <f t="shared" ca="1" si="115"/>
        <v>61.19516250431051</v>
      </c>
    </row>
    <row r="241" spans="1:34" x14ac:dyDescent="0.2">
      <c r="A241" s="347">
        <f t="shared" ca="1" si="93"/>
        <v>0.01</v>
      </c>
      <c r="B241" s="304">
        <f t="shared" ca="1" si="94"/>
        <v>2.3699999999999934</v>
      </c>
      <c r="D241" s="306">
        <f t="shared" ca="1" si="95"/>
        <v>6.6081848671822092</v>
      </c>
      <c r="E241" s="307">
        <f t="shared" ca="1" si="96"/>
        <v>50.763679254937124</v>
      </c>
      <c r="F241" s="304">
        <f t="shared" ca="1" si="97"/>
        <v>51.191984125808112</v>
      </c>
      <c r="G241" s="306">
        <f t="shared" ca="1" si="98"/>
        <v>20.123465157233234</v>
      </c>
      <c r="H241" s="307">
        <f t="shared" ca="1" si="99"/>
        <v>184.36289018593598</v>
      </c>
      <c r="I241" s="304">
        <f t="shared" ca="1" si="100"/>
        <v>185.45789044321052</v>
      </c>
      <c r="J241" s="306">
        <f t="shared" ca="1" si="101"/>
        <v>24.718772245767251</v>
      </c>
      <c r="K241" s="307">
        <f t="shared" ca="1" si="102"/>
        <v>239.84541735502106</v>
      </c>
      <c r="L241" s="304">
        <f t="shared" ca="1" si="87"/>
        <v>241.11582678775432</v>
      </c>
      <c r="M241" s="306">
        <f t="shared" ca="1" si="103"/>
        <v>1.462075344803232</v>
      </c>
      <c r="N241" s="304">
        <f t="shared" ca="1" si="104"/>
        <v>83.770746587359795</v>
      </c>
      <c r="P241" s="310">
        <f t="shared" ca="1" si="105"/>
        <v>6</v>
      </c>
      <c r="Q241" s="304">
        <f t="shared" ca="1" si="106"/>
        <v>532.71000000000095</v>
      </c>
      <c r="R241" s="306">
        <f t="shared" ca="1" si="107"/>
        <v>0.2673423291245019</v>
      </c>
      <c r="S241" s="307">
        <f t="shared" ca="1" si="108"/>
        <v>7.0546201519163212</v>
      </c>
      <c r="T241" s="304">
        <f t="shared" ca="1" si="88"/>
        <v>69.205823690299113</v>
      </c>
      <c r="U241" s="311">
        <f t="shared" ca="1" si="89"/>
        <v>0</v>
      </c>
      <c r="V241" s="306">
        <f t="shared" ca="1" si="90"/>
        <v>1.1959671066946029</v>
      </c>
      <c r="W241" s="304">
        <f t="shared" ca="1" si="91"/>
        <v>103.4013443165915</v>
      </c>
      <c r="Y241" s="314" t="str">
        <f t="shared" ca="1" si="109"/>
        <v/>
      </c>
      <c r="Z241" s="315" t="str">
        <f t="shared" ca="1" si="110"/>
        <v/>
      </c>
      <c r="AA241" s="316" t="str">
        <f t="shared" ca="1" si="111"/>
        <v/>
      </c>
      <c r="AC241" s="310" t="e">
        <f t="shared" ca="1" si="112"/>
        <v>#N/A</v>
      </c>
      <c r="AD241" s="323" t="e">
        <f t="shared" ca="1" si="113"/>
        <v>#N/A</v>
      </c>
      <c r="AE241" s="324">
        <f t="shared" ca="1" si="92"/>
        <v>239.84541735502106</v>
      </c>
      <c r="AG241" s="306">
        <f t="shared" ca="1" si="114"/>
        <v>51.18092778948423</v>
      </c>
      <c r="AH241" s="304">
        <f t="shared" ca="1" si="115"/>
        <v>60.933067588287855</v>
      </c>
    </row>
    <row r="242" spans="1:34" x14ac:dyDescent="0.2">
      <c r="A242" s="347">
        <f t="shared" ca="1" si="93"/>
        <v>0.01</v>
      </c>
      <c r="B242" s="304">
        <f t="shared" ca="1" si="94"/>
        <v>2.3799999999999932</v>
      </c>
      <c r="D242" s="306">
        <f t="shared" ca="1" si="95"/>
        <v>6.5832166582807927</v>
      </c>
      <c r="E242" s="307">
        <f t="shared" ca="1" si="96"/>
        <v>50.502716540500465</v>
      </c>
      <c r="F242" s="304">
        <f t="shared" ca="1" si="97"/>
        <v>50.929982520515409</v>
      </c>
      <c r="G242" s="306">
        <f t="shared" ca="1" si="98"/>
        <v>20.189297323816042</v>
      </c>
      <c r="H242" s="307">
        <f t="shared" ca="1" si="99"/>
        <v>184.86791735134099</v>
      </c>
      <c r="I242" s="304">
        <f t="shared" ca="1" si="100"/>
        <v>185.96707932387304</v>
      </c>
      <c r="J242" s="306">
        <f t="shared" ca="1" si="101"/>
        <v>24.920336058172499</v>
      </c>
      <c r="K242" s="307">
        <f t="shared" ca="1" si="102"/>
        <v>241.69157139270743</v>
      </c>
      <c r="L242" s="304">
        <f t="shared" ca="1" si="87"/>
        <v>242.97291789730073</v>
      </c>
      <c r="M242" s="306">
        <f t="shared" ca="1" si="103"/>
        <v>1.4620181060206805</v>
      </c>
      <c r="N242" s="304">
        <f t="shared" ca="1" si="104"/>
        <v>83.767467046695131</v>
      </c>
      <c r="P242" s="310">
        <f t="shared" ca="1" si="105"/>
        <v>6</v>
      </c>
      <c r="Q242" s="304">
        <f t="shared" ca="1" si="106"/>
        <v>531.25000000000102</v>
      </c>
      <c r="R242" s="306">
        <f t="shared" ca="1" si="107"/>
        <v>0.26660962314841402</v>
      </c>
      <c r="S242" s="307">
        <f t="shared" ca="1" si="108"/>
        <v>7.0519540556848375</v>
      </c>
      <c r="T242" s="304">
        <f t="shared" ca="1" si="88"/>
        <v>69.179669286268265</v>
      </c>
      <c r="U242" s="311">
        <f t="shared" ca="1" si="89"/>
        <v>0</v>
      </c>
      <c r="V242" s="306">
        <f t="shared" ca="1" si="90"/>
        <v>1.1957463011268781</v>
      </c>
      <c r="W242" s="304">
        <f t="shared" ca="1" si="91"/>
        <v>103.95072098101353</v>
      </c>
      <c r="Y242" s="314" t="str">
        <f t="shared" ca="1" si="109"/>
        <v/>
      </c>
      <c r="Z242" s="315" t="str">
        <f t="shared" ca="1" si="110"/>
        <v/>
      </c>
      <c r="AA242" s="316" t="str">
        <f t="shared" ca="1" si="111"/>
        <v/>
      </c>
      <c r="AC242" s="310" t="e">
        <f t="shared" ca="1" si="112"/>
        <v>#N/A</v>
      </c>
      <c r="AD242" s="323" t="e">
        <f t="shared" ca="1" si="113"/>
        <v>#N/A</v>
      </c>
      <c r="AE242" s="324">
        <f t="shared" ca="1" si="92"/>
        <v>241.69157139270743</v>
      </c>
      <c r="AG242" s="306">
        <f t="shared" ca="1" si="114"/>
        <v>50.918857602258925</v>
      </c>
      <c r="AH242" s="304">
        <f t="shared" ca="1" si="115"/>
        <v>60.67093635394648</v>
      </c>
    </row>
    <row r="243" spans="1:34" x14ac:dyDescent="0.2">
      <c r="A243" s="347">
        <f t="shared" ca="1" si="93"/>
        <v>0.01</v>
      </c>
      <c r="B243" s="304">
        <f t="shared" ca="1" si="94"/>
        <v>2.389999999999993</v>
      </c>
      <c r="D243" s="306">
        <f t="shared" ca="1" si="95"/>
        <v>6.5582074214574666</v>
      </c>
      <c r="E243" s="307">
        <f t="shared" ca="1" si="96"/>
        <v>50.241725828652527</v>
      </c>
      <c r="F243" s="304">
        <f t="shared" ca="1" si="97"/>
        <v>50.667949423914422</v>
      </c>
      <c r="G243" s="306">
        <f t="shared" ca="1" si="98"/>
        <v>20.254879398030617</v>
      </c>
      <c r="H243" s="307">
        <f t="shared" ca="1" si="99"/>
        <v>185.37033460962752</v>
      </c>
      <c r="I243" s="304">
        <f t="shared" ca="1" si="100"/>
        <v>186.47364718027592</v>
      </c>
      <c r="J243" s="306">
        <f t="shared" ca="1" si="101"/>
        <v>25.122556941781731</v>
      </c>
      <c r="K243" s="307">
        <f t="shared" ca="1" si="102"/>
        <v>243.54276265251227</v>
      </c>
      <c r="L243" s="304">
        <f t="shared" ca="1" si="87"/>
        <v>244.83508757469994</v>
      </c>
      <c r="M243" s="306">
        <f t="shared" ca="1" si="103"/>
        <v>1.4619609927967485</v>
      </c>
      <c r="N243" s="304">
        <f t="shared" ca="1" si="104"/>
        <v>83.76419470000944</v>
      </c>
      <c r="P243" s="310">
        <f t="shared" ca="1" si="105"/>
        <v>6</v>
      </c>
      <c r="Q243" s="304">
        <f t="shared" ca="1" si="106"/>
        <v>529.79000000000099</v>
      </c>
      <c r="R243" s="306">
        <f t="shared" ca="1" si="107"/>
        <v>0.26587691717232614</v>
      </c>
      <c r="S243" s="307">
        <f t="shared" ca="1" si="108"/>
        <v>7.0492952865131144</v>
      </c>
      <c r="T243" s="304">
        <f t="shared" ca="1" si="88"/>
        <v>69.153586760693656</v>
      </c>
      <c r="U243" s="311">
        <f t="shared" ca="1" si="89"/>
        <v>0</v>
      </c>
      <c r="V243" s="306">
        <f t="shared" ca="1" si="90"/>
        <v>1.1955249335309295</v>
      </c>
      <c r="W243" s="304">
        <f t="shared" ca="1" si="91"/>
        <v>104.49845928957474</v>
      </c>
      <c r="Y243" s="314" t="str">
        <f t="shared" ca="1" si="109"/>
        <v/>
      </c>
      <c r="Z243" s="315" t="str">
        <f t="shared" ca="1" si="110"/>
        <v/>
      </c>
      <c r="AA243" s="316" t="str">
        <f t="shared" ca="1" si="111"/>
        <v/>
      </c>
      <c r="AC243" s="310" t="e">
        <f t="shared" ca="1" si="112"/>
        <v>#N/A</v>
      </c>
      <c r="AD243" s="323" t="e">
        <f t="shared" ca="1" si="113"/>
        <v>#N/A</v>
      </c>
      <c r="AE243" s="324">
        <f t="shared" ca="1" si="92"/>
        <v>243.54276265251227</v>
      </c>
      <c r="AG243" s="306">
        <f t="shared" ca="1" si="114"/>
        <v>50.656755227180689</v>
      </c>
      <c r="AH243" s="304">
        <f t="shared" ca="1" si="115"/>
        <v>60.408773034903739</v>
      </c>
    </row>
    <row r="244" spans="1:34" x14ac:dyDescent="0.2">
      <c r="A244" s="347">
        <f t="shared" ca="1" si="93"/>
        <v>0.01</v>
      </c>
      <c r="B244" s="304">
        <f t="shared" ca="1" si="94"/>
        <v>2.3999999999999928</v>
      </c>
      <c r="D244" s="306">
        <f t="shared" ca="1" si="95"/>
        <v>6.533157793977316</v>
      </c>
      <c r="E244" s="307">
        <f t="shared" ca="1" si="96"/>
        <v>49.98071129126653</v>
      </c>
      <c r="F244" s="304">
        <f t="shared" ca="1" si="97"/>
        <v>50.405889060128125</v>
      </c>
      <c r="G244" s="306">
        <f t="shared" ca="1" si="98"/>
        <v>20.32021097597039</v>
      </c>
      <c r="H244" s="307">
        <f t="shared" ca="1" si="99"/>
        <v>185.87014172254018</v>
      </c>
      <c r="I244" s="304">
        <f t="shared" ca="1" si="100"/>
        <v>186.97759373268531</v>
      </c>
      <c r="J244" s="306">
        <f t="shared" ca="1" si="101"/>
        <v>25.325432393651734</v>
      </c>
      <c r="K244" s="307">
        <f t="shared" ca="1" si="102"/>
        <v>245.3989650341731</v>
      </c>
      <c r="L244" s="304">
        <f t="shared" ca="1" si="87"/>
        <v>246.70230960769041</v>
      </c>
      <c r="M244" s="306">
        <f t="shared" ca="1" si="103"/>
        <v>1.4619040037178408</v>
      </c>
      <c r="N244" s="304">
        <f t="shared" ca="1" si="104"/>
        <v>83.76092946630969</v>
      </c>
      <c r="P244" s="310">
        <f t="shared" ca="1" si="105"/>
        <v>6</v>
      </c>
      <c r="Q244" s="304">
        <f t="shared" ca="1" si="106"/>
        <v>528.33000000000106</v>
      </c>
      <c r="R244" s="306">
        <f t="shared" ca="1" si="107"/>
        <v>0.26514421119623832</v>
      </c>
      <c r="S244" s="307">
        <f t="shared" ca="1" si="108"/>
        <v>7.0466438444011521</v>
      </c>
      <c r="T244" s="304">
        <f t="shared" ca="1" si="88"/>
        <v>69.127576113575302</v>
      </c>
      <c r="U244" s="311">
        <f t="shared" ca="1" si="89"/>
        <v>0</v>
      </c>
      <c r="V244" s="306">
        <f t="shared" ca="1" si="90"/>
        <v>1.195303007346405</v>
      </c>
      <c r="W244" s="304">
        <f t="shared" ca="1" si="91"/>
        <v>105.04453526064393</v>
      </c>
      <c r="Y244" s="314" t="str">
        <f t="shared" ca="1" si="109"/>
        <v/>
      </c>
      <c r="Z244" s="315" t="str">
        <f t="shared" ca="1" si="110"/>
        <v/>
      </c>
      <c r="AA244" s="316" t="str">
        <f t="shared" ca="1" si="111"/>
        <v/>
      </c>
      <c r="AC244" s="310" t="e">
        <f t="shared" ca="1" si="112"/>
        <v>#N/A</v>
      </c>
      <c r="AD244" s="323" t="e">
        <f t="shared" ca="1" si="113"/>
        <v>#N/A</v>
      </c>
      <c r="AE244" s="324">
        <f t="shared" ca="1" si="92"/>
        <v>245.3989650341731</v>
      </c>
      <c r="AG244" s="306">
        <f t="shared" ca="1" si="114"/>
        <v>50.394624878064633</v>
      </c>
      <c r="AH244" s="304">
        <f t="shared" ca="1" si="115"/>
        <v>60.146581843664187</v>
      </c>
    </row>
    <row r="245" spans="1:34" x14ac:dyDescent="0.2">
      <c r="A245" s="347">
        <f t="shared" ca="1" si="93"/>
        <v>0.01</v>
      </c>
      <c r="B245" s="304">
        <f t="shared" ca="1" si="94"/>
        <v>2.4099999999999926</v>
      </c>
      <c r="D245" s="306">
        <f t="shared" ca="1" si="95"/>
        <v>6.5080684093232186</v>
      </c>
      <c r="E245" s="307">
        <f t="shared" ca="1" si="96"/>
        <v>49.719677079207919</v>
      </c>
      <c r="F245" s="304">
        <f t="shared" ca="1" si="97"/>
        <v>50.143805632212882</v>
      </c>
      <c r="G245" s="306">
        <f t="shared" ca="1" si="98"/>
        <v>20.385291660063622</v>
      </c>
      <c r="H245" s="307">
        <f t="shared" ca="1" si="99"/>
        <v>186.36733849333226</v>
      </c>
      <c r="I245" s="304">
        <f t="shared" ca="1" si="100"/>
        <v>187.4789187432927</v>
      </c>
      <c r="J245" s="306">
        <f t="shared" ca="1" si="101"/>
        <v>25.528959906831904</v>
      </c>
      <c r="K245" s="307">
        <f t="shared" ca="1" si="102"/>
        <v>247.26015243525245</v>
      </c>
      <c r="L245" s="304">
        <f t="shared" ca="1" si="87"/>
        <v>248.57455778142082</v>
      </c>
      <c r="M245" s="306">
        <f t="shared" ca="1" si="103"/>
        <v>1.4618471373861603</v>
      </c>
      <c r="N245" s="304">
        <f t="shared" ca="1" si="104"/>
        <v>83.757671265508009</v>
      </c>
      <c r="P245" s="310">
        <f t="shared" ca="1" si="105"/>
        <v>6</v>
      </c>
      <c r="Q245" s="304">
        <f t="shared" ca="1" si="106"/>
        <v>526.87000000000103</v>
      </c>
      <c r="R245" s="306">
        <f t="shared" ca="1" si="107"/>
        <v>0.26441150522015039</v>
      </c>
      <c r="S245" s="307">
        <f t="shared" ca="1" si="108"/>
        <v>7.0439997293489505</v>
      </c>
      <c r="T245" s="304">
        <f t="shared" ca="1" si="88"/>
        <v>69.101637344913215</v>
      </c>
      <c r="U245" s="311">
        <f t="shared" ca="1" si="89"/>
        <v>0</v>
      </c>
      <c r="V245" s="306">
        <f t="shared" ca="1" si="90"/>
        <v>1.1950805260116388</v>
      </c>
      <c r="W245" s="304">
        <f t="shared" ca="1" si="91"/>
        <v>105.58892510859185</v>
      </c>
      <c r="Y245" s="314" t="str">
        <f t="shared" ca="1" si="109"/>
        <v/>
      </c>
      <c r="Z245" s="315" t="str">
        <f t="shared" ca="1" si="110"/>
        <v/>
      </c>
      <c r="AA245" s="316" t="str">
        <f t="shared" ca="1" si="111"/>
        <v/>
      </c>
      <c r="AC245" s="310" t="e">
        <f t="shared" ca="1" si="112"/>
        <v>#N/A</v>
      </c>
      <c r="AD245" s="323" t="e">
        <f t="shared" ca="1" si="113"/>
        <v>#N/A</v>
      </c>
      <c r="AE245" s="324">
        <f t="shared" ca="1" si="92"/>
        <v>247.26015243525245</v>
      </c>
      <c r="AG245" s="306">
        <f t="shared" ca="1" si="114"/>
        <v>50.132470747462662</v>
      </c>
      <c r="AH245" s="304">
        <f t="shared" ca="1" si="115"/>
        <v>59.884366971482663</v>
      </c>
    </row>
    <row r="246" spans="1:34" x14ac:dyDescent="0.2">
      <c r="A246" s="347">
        <f t="shared" ca="1" si="93"/>
        <v>0.01</v>
      </c>
      <c r="B246" s="304">
        <f t="shared" ca="1" si="94"/>
        <v>2.4199999999999924</v>
      </c>
      <c r="D246" s="306">
        <f t="shared" ca="1" si="95"/>
        <v>6.4829398972066707</v>
      </c>
      <c r="E246" s="307">
        <f t="shared" ca="1" si="96"/>
        <v>49.458627322199071</v>
      </c>
      <c r="F246" s="304">
        <f t="shared" ca="1" si="97"/>
        <v>49.881703322029516</v>
      </c>
      <c r="G246" s="306">
        <f t="shared" ca="1" si="98"/>
        <v>20.450121059035688</v>
      </c>
      <c r="H246" s="307">
        <f t="shared" ca="1" si="99"/>
        <v>186.86192476655424</v>
      </c>
      <c r="I246" s="304">
        <f t="shared" ca="1" si="100"/>
        <v>187.97762201600113</v>
      </c>
      <c r="J246" s="306">
        <f t="shared" ca="1" si="101"/>
        <v>25.733136970427402</v>
      </c>
      <c r="K246" s="307">
        <f t="shared" ca="1" si="102"/>
        <v>249.12629875155187</v>
      </c>
      <c r="L246" s="304">
        <f t="shared" ca="1" si="87"/>
        <v>250.45180587886816</v>
      </c>
      <c r="M246" s="306">
        <f t="shared" ca="1" si="103"/>
        <v>1.461790392419444</v>
      </c>
      <c r="N246" s="304">
        <f t="shared" ca="1" si="104"/>
        <v>83.754420018406549</v>
      </c>
      <c r="P246" s="310">
        <f t="shared" ca="1" si="105"/>
        <v>6</v>
      </c>
      <c r="Q246" s="304">
        <f t="shared" ca="1" si="106"/>
        <v>525.41000000000111</v>
      </c>
      <c r="R246" s="306">
        <f t="shared" ca="1" si="107"/>
        <v>0.26367879924406257</v>
      </c>
      <c r="S246" s="307">
        <f t="shared" ca="1" si="108"/>
        <v>7.0413629413565095</v>
      </c>
      <c r="T246" s="304">
        <f t="shared" ca="1" si="88"/>
        <v>69.075770454707367</v>
      </c>
      <c r="U246" s="311">
        <f t="shared" ca="1" si="89"/>
        <v>0</v>
      </c>
      <c r="V246" s="306">
        <f t="shared" ca="1" si="90"/>
        <v>1.1948574929635889</v>
      </c>
      <c r="W246" s="304">
        <f t="shared" ca="1" si="91"/>
        <v>106.13160524412903</v>
      </c>
      <c r="Y246" s="314" t="str">
        <f t="shared" ca="1" si="109"/>
        <v/>
      </c>
      <c r="Z246" s="315" t="str">
        <f t="shared" ca="1" si="110"/>
        <v/>
      </c>
      <c r="AA246" s="316" t="str">
        <f t="shared" ca="1" si="111"/>
        <v/>
      </c>
      <c r="AC246" s="310" t="e">
        <f t="shared" ca="1" si="112"/>
        <v>#N/A</v>
      </c>
      <c r="AD246" s="323" t="e">
        <f t="shared" ca="1" si="113"/>
        <v>#N/A</v>
      </c>
      <c r="AE246" s="324">
        <f t="shared" ca="1" si="92"/>
        <v>249.12629875155187</v>
      </c>
      <c r="AG246" s="306">
        <f t="shared" ca="1" si="114"/>
        <v>49.870297006529761</v>
      </c>
      <c r="AH246" s="304">
        <f t="shared" ca="1" si="115"/>
        <v>59.622132588230322</v>
      </c>
    </row>
    <row r="247" spans="1:34" x14ac:dyDescent="0.2">
      <c r="A247" s="347">
        <f t="shared" ca="1" si="93"/>
        <v>0.01</v>
      </c>
      <c r="B247" s="304">
        <f t="shared" ca="1" si="94"/>
        <v>2.4299999999999922</v>
      </c>
      <c r="D247" s="306">
        <f t="shared" ca="1" si="95"/>
        <v>6.4577728835782446</v>
      </c>
      <c r="E247" s="307">
        <f t="shared" ca="1" si="96"/>
        <v>49.197566128686425</v>
      </c>
      <c r="F247" s="304">
        <f t="shared" ca="1" si="97"/>
        <v>49.61958629011685</v>
      </c>
      <c r="G247" s="306">
        <f t="shared" ca="1" si="98"/>
        <v>20.51469878787147</v>
      </c>
      <c r="H247" s="307">
        <f t="shared" ca="1" si="99"/>
        <v>187.3539004278411</v>
      </c>
      <c r="I247" s="304">
        <f t="shared" ca="1" si="100"/>
        <v>188.47370339620988</v>
      </c>
      <c r="J247" s="306">
        <f t="shared" ca="1" si="101"/>
        <v>25.937961069661938</v>
      </c>
      <c r="K247" s="307">
        <f t="shared" ca="1" si="102"/>
        <v>250.99737787752386</v>
      </c>
      <c r="L247" s="304">
        <f t="shared" ca="1" si="87"/>
        <v>252.33402768125387</v>
      </c>
      <c r="M247" s="306">
        <f t="shared" ca="1" si="103"/>
        <v>1.4617337674507027</v>
      </c>
      <c r="N247" s="304">
        <f t="shared" ca="1" si="104"/>
        <v>83.751175646682611</v>
      </c>
      <c r="P247" s="310">
        <f t="shared" ca="1" si="105"/>
        <v>6</v>
      </c>
      <c r="Q247" s="304">
        <f t="shared" ca="1" si="106"/>
        <v>523.95000000000118</v>
      </c>
      <c r="R247" s="306">
        <f t="shared" ca="1" si="107"/>
        <v>0.26294609326797475</v>
      </c>
      <c r="S247" s="307">
        <f t="shared" ca="1" si="108"/>
        <v>7.0387334804238302</v>
      </c>
      <c r="T247" s="304">
        <f t="shared" ca="1" si="88"/>
        <v>69.049975442957773</v>
      </c>
      <c r="U247" s="311">
        <f t="shared" ca="1" si="89"/>
        <v>0</v>
      </c>
      <c r="V247" s="306">
        <f t="shared" ca="1" si="90"/>
        <v>1.1946339116377693</v>
      </c>
      <c r="W247" s="304">
        <f t="shared" ca="1" si="91"/>
        <v>106.67255227462449</v>
      </c>
      <c r="Y247" s="314" t="str">
        <f t="shared" ca="1" si="109"/>
        <v/>
      </c>
      <c r="Z247" s="315" t="str">
        <f t="shared" ca="1" si="110"/>
        <v/>
      </c>
      <c r="AA247" s="316" t="str">
        <f t="shared" ca="1" si="111"/>
        <v/>
      </c>
      <c r="AC247" s="310" t="e">
        <f t="shared" ca="1" si="112"/>
        <v>#N/A</v>
      </c>
      <c r="AD247" s="323" t="e">
        <f t="shared" ca="1" si="113"/>
        <v>#N/A</v>
      </c>
      <c r="AE247" s="324">
        <f t="shared" ca="1" si="92"/>
        <v>250.99737787752386</v>
      </c>
      <c r="AG247" s="306">
        <f t="shared" ca="1" si="114"/>
        <v>49.608107804892484</v>
      </c>
      <c r="AH247" s="304">
        <f t="shared" ca="1" si="115"/>
        <v>59.359882842262927</v>
      </c>
    </row>
    <row r="248" spans="1:34" x14ac:dyDescent="0.2">
      <c r="A248" s="347">
        <f t="shared" ca="1" si="93"/>
        <v>0.01</v>
      </c>
      <c r="B248" s="304">
        <f t="shared" ca="1" si="94"/>
        <v>2.439999999999992</v>
      </c>
      <c r="D248" s="306">
        <f t="shared" ca="1" si="95"/>
        <v>6.4325679906377919</v>
      </c>
      <c r="E248" s="307">
        <f t="shared" ca="1" si="96"/>
        <v>48.936497585710597</v>
      </c>
      <c r="F248" s="304">
        <f t="shared" ca="1" si="97"/>
        <v>49.357458675568346</v>
      </c>
      <c r="G248" s="306">
        <f t="shared" ca="1" si="98"/>
        <v>20.579024467777849</v>
      </c>
      <c r="H248" s="307">
        <f t="shared" ca="1" si="99"/>
        <v>187.84326540369821</v>
      </c>
      <c r="I248" s="304">
        <f t="shared" ca="1" si="100"/>
        <v>188.96716277059781</v>
      </c>
      <c r="J248" s="306">
        <f t="shared" ca="1" si="101"/>
        <v>26.143429685940184</v>
      </c>
      <c r="K248" s="307">
        <f t="shared" ca="1" si="102"/>
        <v>252.87336370668154</v>
      </c>
      <c r="L248" s="304">
        <f t="shared" ca="1" si="87"/>
        <v>254.22119696845766</v>
      </c>
      <c r="M248" s="306">
        <f t="shared" ca="1" si="103"/>
        <v>1.4616772611279678</v>
      </c>
      <c r="N248" s="304">
        <f t="shared" ca="1" si="104"/>
        <v>83.747938072874092</v>
      </c>
      <c r="P248" s="310">
        <f t="shared" ca="1" si="105"/>
        <v>6</v>
      </c>
      <c r="Q248" s="304">
        <f t="shared" ca="1" si="106"/>
        <v>522.49000000000115</v>
      </c>
      <c r="R248" s="306">
        <f t="shared" ca="1" si="107"/>
        <v>0.26221338729188687</v>
      </c>
      <c r="S248" s="307">
        <f t="shared" ca="1" si="108"/>
        <v>7.0361113465509115</v>
      </c>
      <c r="T248" s="304">
        <f t="shared" ca="1" si="88"/>
        <v>69.024252309664448</v>
      </c>
      <c r="U248" s="311">
        <f t="shared" ca="1" si="89"/>
        <v>0</v>
      </c>
      <c r="V248" s="306">
        <f t="shared" ca="1" si="90"/>
        <v>1.1944097854681903</v>
      </c>
      <c r="W248" s="304">
        <f t="shared" ca="1" si="91"/>
        <v>107.21174300440654</v>
      </c>
      <c r="Y248" s="314" t="str">
        <f t="shared" ca="1" si="109"/>
        <v/>
      </c>
      <c r="Z248" s="315" t="str">
        <f t="shared" ca="1" si="110"/>
        <v/>
      </c>
      <c r="AA248" s="316" t="str">
        <f t="shared" ca="1" si="111"/>
        <v/>
      </c>
      <c r="AC248" s="310" t="e">
        <f t="shared" ca="1" si="112"/>
        <v>#N/A</v>
      </c>
      <c r="AD248" s="323" t="e">
        <f t="shared" ca="1" si="113"/>
        <v>#N/A</v>
      </c>
      <c r="AE248" s="324">
        <f t="shared" ca="1" si="92"/>
        <v>252.87336370668154</v>
      </c>
      <c r="AG248" s="306">
        <f t="shared" ca="1" si="114"/>
        <v>49.345907270520449</v>
      </c>
      <c r="AH248" s="304">
        <f t="shared" ca="1" si="115"/>
        <v>59.097621860292136</v>
      </c>
    </row>
    <row r="249" spans="1:34" x14ac:dyDescent="0.2">
      <c r="A249" s="347">
        <f t="shared" ca="1" si="93"/>
        <v>0.01</v>
      </c>
      <c r="B249" s="304">
        <f t="shared" ca="1" si="94"/>
        <v>2.4499999999999917</v>
      </c>
      <c r="D249" s="306">
        <f t="shared" ca="1" si="95"/>
        <v>6.4073258368442971</v>
      </c>
      <c r="E249" s="307">
        <f t="shared" ca="1" si="96"/>
        <v>48.675425758778921</v>
      </c>
      <c r="F249" s="304">
        <f t="shared" ca="1" si="97"/>
        <v>49.095324595911279</v>
      </c>
      <c r="G249" s="306">
        <f t="shared" ca="1" si="98"/>
        <v>20.643097726146291</v>
      </c>
      <c r="H249" s="307">
        <f t="shared" ca="1" si="99"/>
        <v>188.330019661286</v>
      </c>
      <c r="I249" s="304">
        <f t="shared" ca="1" si="100"/>
        <v>189.45800006690558</v>
      </c>
      <c r="J249" s="306">
        <f t="shared" ca="1" si="101"/>
        <v>26.349540296909804</v>
      </c>
      <c r="K249" s="307">
        <f t="shared" ca="1" si="102"/>
        <v>254.75423013200646</v>
      </c>
      <c r="L249" s="304">
        <f t="shared" ca="1" si="87"/>
        <v>256.11328751942915</v>
      </c>
      <c r="M249" s="306">
        <f t="shared" ca="1" si="103"/>
        <v>1.4616208721140422</v>
      </c>
      <c r="N249" s="304">
        <f t="shared" ca="1" si="104"/>
        <v>83.744707220365257</v>
      </c>
      <c r="P249" s="310">
        <f t="shared" ca="1" si="105"/>
        <v>6</v>
      </c>
      <c r="Q249" s="304">
        <f t="shared" ca="1" si="106"/>
        <v>521.03000000000122</v>
      </c>
      <c r="R249" s="306">
        <f t="shared" ca="1" si="107"/>
        <v>0.26148068131579899</v>
      </c>
      <c r="S249" s="307">
        <f t="shared" ca="1" si="108"/>
        <v>7.0334965397377536</v>
      </c>
      <c r="T249" s="304">
        <f t="shared" ca="1" si="88"/>
        <v>68.998601054827361</v>
      </c>
      <c r="U249" s="311">
        <f t="shared" ca="1" si="89"/>
        <v>0</v>
      </c>
      <c r="V249" s="306">
        <f t="shared" ca="1" si="90"/>
        <v>1.1941851178872909</v>
      </c>
      <c r="W249" s="304">
        <f t="shared" ca="1" si="91"/>
        <v>107.74915443504537</v>
      </c>
      <c r="Y249" s="314" t="str">
        <f t="shared" ca="1" si="109"/>
        <v/>
      </c>
      <c r="Z249" s="315" t="str">
        <f t="shared" ca="1" si="110"/>
        <v/>
      </c>
      <c r="AA249" s="316" t="str">
        <f t="shared" ca="1" si="111"/>
        <v/>
      </c>
      <c r="AC249" s="310" t="e">
        <f t="shared" ca="1" si="112"/>
        <v>#N/A</v>
      </c>
      <c r="AD249" s="323" t="e">
        <f t="shared" ca="1" si="113"/>
        <v>#N/A</v>
      </c>
      <c r="AE249" s="324">
        <f t="shared" ca="1" si="92"/>
        <v>254.75423013200646</v>
      </c>
      <c r="AG249" s="306">
        <f t="shared" ca="1" si="114"/>
        <v>49.083699509600351</v>
      </c>
      <c r="AH249" s="304">
        <f t="shared" ca="1" si="115"/>
        <v>58.835353747259255</v>
      </c>
    </row>
    <row r="250" spans="1:34" x14ac:dyDescent="0.2">
      <c r="A250" s="347">
        <f t="shared" ca="1" si="93"/>
        <v>0.01</v>
      </c>
      <c r="B250" s="304">
        <f t="shared" ca="1" si="94"/>
        <v>2.4599999999999915</v>
      </c>
      <c r="D250" s="306">
        <f t="shared" ca="1" si="95"/>
        <v>6.3820470369253943</v>
      </c>
      <c r="E250" s="307">
        <f t="shared" ca="1" si="96"/>
        <v>48.414354691740833</v>
      </c>
      <c r="F250" s="304">
        <f t="shared" ca="1" si="97"/>
        <v>48.833188146988881</v>
      </c>
      <c r="G250" s="306">
        <f t="shared" ca="1" si="98"/>
        <v>20.706918196515545</v>
      </c>
      <c r="H250" s="307">
        <f t="shared" ca="1" si="99"/>
        <v>188.81416320820341</v>
      </c>
      <c r="I250" s="304">
        <f t="shared" ca="1" si="100"/>
        <v>189.94621525371667</v>
      </c>
      <c r="J250" s="306">
        <f t="shared" ca="1" si="101"/>
        <v>26.556290376523112</v>
      </c>
      <c r="K250" s="307">
        <f t="shared" ca="1" si="102"/>
        <v>256.63995104635393</v>
      </c>
      <c r="L250" s="304">
        <f t="shared" ca="1" si="87"/>
        <v>258.01027311259753</v>
      </c>
      <c r="M250" s="306">
        <f t="shared" ca="1" si="103"/>
        <v>1.4615645990862569</v>
      </c>
      <c r="N250" s="304">
        <f t="shared" ca="1" si="104"/>
        <v>83.741483013372743</v>
      </c>
      <c r="P250" s="310">
        <f t="shared" ca="1" si="105"/>
        <v>6</v>
      </c>
      <c r="Q250" s="304">
        <f t="shared" ca="1" si="106"/>
        <v>519.57000000000119</v>
      </c>
      <c r="R250" s="306">
        <f t="shared" ca="1" si="107"/>
        <v>0.26074797533971111</v>
      </c>
      <c r="S250" s="307">
        <f t="shared" ca="1" si="108"/>
        <v>7.0308890599843563</v>
      </c>
      <c r="T250" s="304">
        <f t="shared" ca="1" si="88"/>
        <v>68.973021678446543</v>
      </c>
      <c r="U250" s="311">
        <f t="shared" ca="1" si="89"/>
        <v>0</v>
      </c>
      <c r="V250" s="306">
        <f t="shared" ca="1" si="90"/>
        <v>1.1939599123258799</v>
      </c>
      <c r="W250" s="304">
        <f t="shared" ca="1" si="91"/>
        <v>108.28476376561794</v>
      </c>
      <c r="Y250" s="314" t="str">
        <f t="shared" ca="1" si="109"/>
        <v/>
      </c>
      <c r="Z250" s="315" t="str">
        <f t="shared" ca="1" si="110"/>
        <v/>
      </c>
      <c r="AA250" s="316" t="str">
        <f t="shared" ca="1" si="111"/>
        <v/>
      </c>
      <c r="AC250" s="310" t="e">
        <f t="shared" ca="1" si="112"/>
        <v>#N/A</v>
      </c>
      <c r="AD250" s="323" t="e">
        <f t="shared" ca="1" si="113"/>
        <v>#N/A</v>
      </c>
      <c r="AE250" s="324">
        <f t="shared" ca="1" si="92"/>
        <v>256.63995104635393</v>
      </c>
      <c r="AG250" s="306">
        <f t="shared" ca="1" si="114"/>
        <v>48.821488606412551</v>
      </c>
      <c r="AH250" s="304">
        <f t="shared" ca="1" si="115"/>
        <v>58.573082586211662</v>
      </c>
    </row>
    <row r="251" spans="1:34" x14ac:dyDescent="0.2">
      <c r="A251" s="347">
        <f t="shared" ca="1" si="93"/>
        <v>0.01</v>
      </c>
      <c r="B251" s="304">
        <f t="shared" ca="1" si="94"/>
        <v>2.4699999999999913</v>
      </c>
      <c r="D251" s="306">
        <f t="shared" ca="1" si="95"/>
        <v>6.3567322018866443</v>
      </c>
      <c r="E251" s="307">
        <f t="shared" ca="1" si="96"/>
        <v>48.153288406665844</v>
      </c>
      <c r="F251" s="304">
        <f t="shared" ca="1" si="97"/>
        <v>48.571053402845209</v>
      </c>
      <c r="G251" s="306">
        <f t="shared" ca="1" si="98"/>
        <v>20.770485518534411</v>
      </c>
      <c r="H251" s="307">
        <f t="shared" ca="1" si="99"/>
        <v>189.29569609227008</v>
      </c>
      <c r="I251" s="304">
        <f t="shared" ca="1" si="100"/>
        <v>190.4318083402369</v>
      </c>
      <c r="J251" s="306">
        <f t="shared" ca="1" si="101"/>
        <v>26.763677395098362</v>
      </c>
      <c r="K251" s="307">
        <f t="shared" ca="1" si="102"/>
        <v>258.53050034285627</v>
      </c>
      <c r="L251" s="304">
        <f t="shared" ca="1" si="87"/>
        <v>259.9121275262786</v>
      </c>
      <c r="M251" s="306">
        <f t="shared" ca="1" si="103"/>
        <v>1.4615084407362304</v>
      </c>
      <c r="N251" s="304">
        <f t="shared" ca="1" si="104"/>
        <v>83.738265376931807</v>
      </c>
      <c r="P251" s="310">
        <f t="shared" ca="1" si="105"/>
        <v>6</v>
      </c>
      <c r="Q251" s="304">
        <f t="shared" ca="1" si="106"/>
        <v>518.11000000000126</v>
      </c>
      <c r="R251" s="306">
        <f t="shared" ca="1" si="107"/>
        <v>0.26001526936362329</v>
      </c>
      <c r="S251" s="307">
        <f t="shared" ca="1" si="108"/>
        <v>7.0282889072907198</v>
      </c>
      <c r="T251" s="304">
        <f t="shared" ca="1" si="88"/>
        <v>68.947514180521964</v>
      </c>
      <c r="U251" s="311">
        <f t="shared" ca="1" si="89"/>
        <v>0</v>
      </c>
      <c r="V251" s="306">
        <f t="shared" ca="1" si="90"/>
        <v>1.1937341722130699</v>
      </c>
      <c r="W251" s="304">
        <f t="shared" ca="1" si="91"/>
        <v>108.81854839295394</v>
      </c>
      <c r="Y251" s="314" t="str">
        <f t="shared" ca="1" si="109"/>
        <v/>
      </c>
      <c r="Z251" s="315" t="str">
        <f t="shared" ca="1" si="110"/>
        <v/>
      </c>
      <c r="AA251" s="316" t="str">
        <f t="shared" ca="1" si="111"/>
        <v/>
      </c>
      <c r="AC251" s="310" t="e">
        <f t="shared" ca="1" si="112"/>
        <v>#N/A</v>
      </c>
      <c r="AD251" s="323" t="e">
        <f t="shared" ca="1" si="113"/>
        <v>#N/A</v>
      </c>
      <c r="AE251" s="324">
        <f t="shared" ca="1" si="92"/>
        <v>258.53050034285627</v>
      </c>
      <c r="AG251" s="306">
        <f t="shared" ca="1" si="114"/>
        <v>48.559278623210361</v>
      </c>
      <c r="AH251" s="304">
        <f t="shared" ca="1" si="115"/>
        <v>58.31081243818187</v>
      </c>
    </row>
    <row r="252" spans="1:34" x14ac:dyDescent="0.2">
      <c r="A252" s="347">
        <f t="shared" ca="1" si="93"/>
        <v>0.01</v>
      </c>
      <c r="B252" s="304">
        <f t="shared" ca="1" si="94"/>
        <v>2.4799999999999911</v>
      </c>
      <c r="D252" s="306">
        <f t="shared" ca="1" si="95"/>
        <v>6.331381939020587</v>
      </c>
      <c r="E252" s="307">
        <f t="shared" ca="1" si="96"/>
        <v>47.892230903724077</v>
      </c>
      <c r="F252" s="304">
        <f t="shared" ca="1" si="97"/>
        <v>48.308924415612687</v>
      </c>
      <c r="G252" s="306">
        <f t="shared" ca="1" si="98"/>
        <v>20.833799337924617</v>
      </c>
      <c r="H252" s="307">
        <f t="shared" ca="1" si="99"/>
        <v>189.77461840130732</v>
      </c>
      <c r="I252" s="304">
        <f t="shared" ca="1" si="100"/>
        <v>190.91477937607323</v>
      </c>
      <c r="J252" s="306">
        <f t="shared" ca="1" si="101"/>
        <v>26.971698819380659</v>
      </c>
      <c r="K252" s="307">
        <f t="shared" ca="1" si="102"/>
        <v>260.42585191532413</v>
      </c>
      <c r="L252" s="304">
        <f t="shared" ca="1" si="87"/>
        <v>261.81882453908031</v>
      </c>
      <c r="M252" s="306">
        <f t="shared" ca="1" si="103"/>
        <v>1.4614523957696357</v>
      </c>
      <c r="N252" s="304">
        <f t="shared" ca="1" si="104"/>
        <v>83.735054236882974</v>
      </c>
      <c r="P252" s="310">
        <f t="shared" ca="1" si="105"/>
        <v>6</v>
      </c>
      <c r="Q252" s="304">
        <f t="shared" ca="1" si="106"/>
        <v>516.65000000000123</v>
      </c>
      <c r="R252" s="306">
        <f t="shared" ca="1" si="107"/>
        <v>0.25928256338753541</v>
      </c>
      <c r="S252" s="307">
        <f t="shared" ca="1" si="108"/>
        <v>7.0256960816568448</v>
      </c>
      <c r="T252" s="304">
        <f t="shared" ca="1" si="88"/>
        <v>68.922078561053652</v>
      </c>
      <c r="U252" s="311">
        <f t="shared" ca="1" si="89"/>
        <v>0</v>
      </c>
      <c r="V252" s="306">
        <f t="shared" ca="1" si="90"/>
        <v>1.1935079009762166</v>
      </c>
      <c r="W252" s="304">
        <f t="shared" ca="1" si="91"/>
        <v>109.35048591186542</v>
      </c>
      <c r="Y252" s="314" t="str">
        <f t="shared" ca="1" si="109"/>
        <v/>
      </c>
      <c r="Z252" s="315" t="str">
        <f t="shared" ca="1" si="110"/>
        <v/>
      </c>
      <c r="AA252" s="316" t="str">
        <f t="shared" ca="1" si="111"/>
        <v/>
      </c>
      <c r="AC252" s="310" t="e">
        <f t="shared" ca="1" si="112"/>
        <v>#N/A</v>
      </c>
      <c r="AD252" s="323" t="e">
        <f t="shared" ca="1" si="113"/>
        <v>#N/A</v>
      </c>
      <c r="AE252" s="324">
        <f t="shared" ca="1" si="92"/>
        <v>260.42585191532413</v>
      </c>
      <c r="AG252" s="306">
        <f t="shared" ca="1" si="114"/>
        <v>48.297073600101875</v>
      </c>
      <c r="AH252" s="304">
        <f t="shared" ca="1" si="115"/>
        <v>58.048547342069178</v>
      </c>
    </row>
    <row r="253" spans="1:34" x14ac:dyDescent="0.2">
      <c r="A253" s="347">
        <f t="shared" ca="1" si="93"/>
        <v>0.01</v>
      </c>
      <c r="B253" s="304">
        <f t="shared" ca="1" si="94"/>
        <v>2.4899999999999909</v>
      </c>
      <c r="D253" s="306">
        <f t="shared" ca="1" si="95"/>
        <v>6.3059968519154506</v>
      </c>
      <c r="E253" s="307">
        <f t="shared" ca="1" si="96"/>
        <v>47.631186161069799</v>
      </c>
      <c r="F253" s="304">
        <f t="shared" ca="1" si="97"/>
        <v>48.04680521540277</v>
      </c>
      <c r="G253" s="306">
        <f t="shared" ca="1" si="98"/>
        <v>20.896859306443773</v>
      </c>
      <c r="H253" s="307">
        <f t="shared" ca="1" si="99"/>
        <v>190.25093026291802</v>
      </c>
      <c r="I253" s="304">
        <f t="shared" ca="1" si="100"/>
        <v>191.395128451011</v>
      </c>
      <c r="J253" s="306">
        <f t="shared" ca="1" si="101"/>
        <v>27.180352112602503</v>
      </c>
      <c r="K253" s="307">
        <f t="shared" ca="1" si="102"/>
        <v>262.32597965864528</v>
      </c>
      <c r="L253" s="304">
        <f t="shared" ca="1" si="87"/>
        <v>263.73033793030532</v>
      </c>
      <c r="M253" s="306">
        <f t="shared" ca="1" si="103"/>
        <v>1.4613964629059699</v>
      </c>
      <c r="N253" s="304">
        <f t="shared" ca="1" si="104"/>
        <v>83.731849519858841</v>
      </c>
      <c r="P253" s="310">
        <f t="shared" ca="1" si="105"/>
        <v>6</v>
      </c>
      <c r="Q253" s="304">
        <f t="shared" ca="1" si="106"/>
        <v>515.19000000000131</v>
      </c>
      <c r="R253" s="306">
        <f t="shared" ca="1" si="107"/>
        <v>0.25854985741144754</v>
      </c>
      <c r="S253" s="307">
        <f t="shared" ca="1" si="108"/>
        <v>7.0231105830827305</v>
      </c>
      <c r="T253" s="304">
        <f t="shared" ca="1" si="88"/>
        <v>68.896714820041595</v>
      </c>
      <c r="U253" s="311">
        <f t="shared" ca="1" si="89"/>
        <v>0</v>
      </c>
      <c r="V253" s="306">
        <f t="shared" ca="1" si="90"/>
        <v>1.1932811020408571</v>
      </c>
      <c r="W253" s="304">
        <f t="shared" ca="1" si="91"/>
        <v>109.88055411535748</v>
      </c>
      <c r="Y253" s="314" t="str">
        <f t="shared" ca="1" si="109"/>
        <v/>
      </c>
      <c r="Z253" s="315" t="str">
        <f t="shared" ca="1" si="110"/>
        <v/>
      </c>
      <c r="AA253" s="316" t="str">
        <f t="shared" ca="1" si="111"/>
        <v/>
      </c>
      <c r="AC253" s="310" t="e">
        <f t="shared" ca="1" si="112"/>
        <v>#N/A</v>
      </c>
      <c r="AD253" s="323" t="e">
        <f t="shared" ca="1" si="113"/>
        <v>#N/A</v>
      </c>
      <c r="AE253" s="324">
        <f t="shared" ca="1" si="92"/>
        <v>262.32597965864528</v>
      </c>
      <c r="AG253" s="306">
        <f t="shared" ca="1" si="114"/>
        <v>48.034877554934653</v>
      </c>
      <c r="AH253" s="304">
        <f t="shared" ca="1" si="115"/>
        <v>57.786291314524107</v>
      </c>
    </row>
    <row r="254" spans="1:34" x14ac:dyDescent="0.2">
      <c r="A254" s="347">
        <f t="shared" ca="1" si="93"/>
        <v>0.01</v>
      </c>
      <c r="B254" s="304">
        <f t="shared" ca="1" si="94"/>
        <v>2.4999999999999907</v>
      </c>
      <c r="D254" s="306">
        <f t="shared" ca="1" si="95"/>
        <v>6.280577540463641</v>
      </c>
      <c r="E254" s="307">
        <f t="shared" ca="1" si="96"/>
        <v>47.370158134727056</v>
      </c>
      <c r="F254" s="304">
        <f t="shared" ca="1" si="97"/>
        <v>47.784699810198916</v>
      </c>
      <c r="G254" s="306">
        <f t="shared" ca="1" si="98"/>
        <v>20.95966508184841</v>
      </c>
      <c r="H254" s="307">
        <f t="shared" ca="1" si="99"/>
        <v>190.72463184426528</v>
      </c>
      <c r="I254" s="304">
        <f t="shared" ca="1" si="100"/>
        <v>191.87285569479019</v>
      </c>
      <c r="J254" s="306">
        <f t="shared" ca="1" si="101"/>
        <v>27.389634734543964</v>
      </c>
      <c r="K254" s="307">
        <f t="shared" ca="1" si="102"/>
        <v>264.23085746918122</v>
      </c>
      <c r="L254" s="304">
        <f t="shared" ca="1" si="87"/>
        <v>265.64664148035166</v>
      </c>
      <c r="M254" s="306">
        <f t="shared" ca="1" si="103"/>
        <v>1.4613406408783289</v>
      </c>
      <c r="N254" s="304">
        <f t="shared" ca="1" si="104"/>
        <v>83.728651153271144</v>
      </c>
      <c r="P254" s="310">
        <f t="shared" ca="1" si="105"/>
        <v>6</v>
      </c>
      <c r="Q254" s="304">
        <f t="shared" ca="1" si="106"/>
        <v>513.73000000000138</v>
      </c>
      <c r="R254" s="306">
        <f t="shared" ca="1" si="107"/>
        <v>0.25781715143535971</v>
      </c>
      <c r="S254" s="307">
        <f t="shared" ca="1" si="108"/>
        <v>7.0205324115683769</v>
      </c>
      <c r="T254" s="304">
        <f t="shared" ca="1" si="88"/>
        <v>68.871422957485777</v>
      </c>
      <c r="U254" s="311">
        <f t="shared" ca="1" si="89"/>
        <v>0</v>
      </c>
      <c r="V254" s="306">
        <f t="shared" ca="1" si="90"/>
        <v>1.1930537788306492</v>
      </c>
      <c r="W254" s="304">
        <f t="shared" ca="1" si="91"/>
        <v>110.40873099482208</v>
      </c>
      <c r="Y254" s="314" t="str">
        <f t="shared" ca="1" si="109"/>
        <v/>
      </c>
      <c r="Z254" s="315" t="str">
        <f t="shared" ca="1" si="110"/>
        <v/>
      </c>
      <c r="AA254" s="316" t="str">
        <f t="shared" ca="1" si="111"/>
        <v/>
      </c>
      <c r="AC254" s="310" t="e">
        <f t="shared" ca="1" si="112"/>
        <v>#N/A</v>
      </c>
      <c r="AD254" s="323" t="e">
        <f t="shared" ca="1" si="113"/>
        <v>#N/A</v>
      </c>
      <c r="AE254" s="324">
        <f t="shared" ca="1" si="92"/>
        <v>264.23085746918122</v>
      </c>
      <c r="AG254" s="306">
        <f t="shared" ca="1" si="114"/>
        <v>47.77269448318259</v>
      </c>
      <c r="AH254" s="304">
        <f t="shared" ca="1" si="115"/>
        <v>57.524048349835127</v>
      </c>
    </row>
    <row r="255" spans="1:34" x14ac:dyDescent="0.2">
      <c r="A255" s="347">
        <f t="shared" ca="1" si="93"/>
        <v>0.01</v>
      </c>
      <c r="B255" s="304">
        <f t="shared" ca="1" si="94"/>
        <v>2.5099999999999905</v>
      </c>
      <c r="D255" s="306">
        <f t="shared" ca="1" si="95"/>
        <v>6.250589467127841</v>
      </c>
      <c r="E255" s="307">
        <f t="shared" ca="1" si="96"/>
        <v>47.067882841745579</v>
      </c>
      <c r="F255" s="304">
        <f t="shared" ca="1" si="97"/>
        <v>47.481106388655867</v>
      </c>
      <c r="G255" s="306">
        <f t="shared" ca="1" si="98"/>
        <v>21.022170976519689</v>
      </c>
      <c r="H255" s="307">
        <f t="shared" ca="1" si="99"/>
        <v>191.19531067268272</v>
      </c>
      <c r="I255" s="304">
        <f t="shared" ca="1" si="100"/>
        <v>192.34754611325224</v>
      </c>
      <c r="J255" s="306">
        <f t="shared" ca="1" si="101"/>
        <v>27.599543914835806</v>
      </c>
      <c r="K255" s="307">
        <f t="shared" ca="1" si="102"/>
        <v>266.14045718176595</v>
      </c>
      <c r="L255" s="304">
        <f t="shared" ca="1" si="87"/>
        <v>267.56770689533209</v>
      </c>
      <c r="M255" s="306">
        <f t="shared" ca="1" si="103"/>
        <v>1.4612849283129368</v>
      </c>
      <c r="N255" s="304">
        <f t="shared" ca="1" si="104"/>
        <v>83.725459058408333</v>
      </c>
      <c r="P255" s="310">
        <f t="shared" ca="1" si="105"/>
        <v>7</v>
      </c>
      <c r="Q255" s="304">
        <f t="shared" ca="1" si="106"/>
        <v>511.97872340425727</v>
      </c>
      <c r="R255" s="306">
        <f t="shared" ca="1" si="107"/>
        <v>0.25693826730694563</v>
      </c>
      <c r="S255" s="307">
        <f t="shared" ca="1" si="108"/>
        <v>7.0179630288953074</v>
      </c>
      <c r="T255" s="304">
        <f t="shared" ca="1" si="88"/>
        <v>68.846217313462972</v>
      </c>
      <c r="U255" s="311">
        <f t="shared" ca="1" si="89"/>
        <v>0</v>
      </c>
      <c r="V255" s="306">
        <f t="shared" ca="1" si="90"/>
        <v>1.1928259350134793</v>
      </c>
      <c r="W255" s="304">
        <f t="shared" ca="1" si="91"/>
        <v>110.93451587968337</v>
      </c>
      <c r="Y255" s="314" t="str">
        <f t="shared" ca="1" si="109"/>
        <v/>
      </c>
      <c r="Z255" s="315" t="str">
        <f t="shared" ca="1" si="110"/>
        <v/>
      </c>
      <c r="AA255" s="316" t="str">
        <f t="shared" ca="1" si="111"/>
        <v/>
      </c>
      <c r="AC255" s="310" t="e">
        <f t="shared" ca="1" si="112"/>
        <v>#N/A</v>
      </c>
      <c r="AD255" s="323" t="e">
        <f t="shared" ca="1" si="113"/>
        <v>#N/A</v>
      </c>
      <c r="AE255" s="324">
        <f t="shared" ca="1" si="92"/>
        <v>266.14045718176595</v>
      </c>
      <c r="AG255" s="306">
        <f t="shared" ca="1" si="114"/>
        <v>47.469011994922688</v>
      </c>
      <c r="AH255" s="304">
        <f t="shared" ca="1" si="115"/>
        <v>57.220306056905237</v>
      </c>
    </row>
    <row r="256" spans="1:34" x14ac:dyDescent="0.2">
      <c r="A256" s="347">
        <f t="shared" ca="1" si="93"/>
        <v>0.01</v>
      </c>
      <c r="B256" s="304">
        <f t="shared" ca="1" si="94"/>
        <v>2.5199999999999902</v>
      </c>
      <c r="D256" s="306">
        <f t="shared" ca="1" si="95"/>
        <v>6.2160275482510832</v>
      </c>
      <c r="E256" s="307">
        <f t="shared" ca="1" si="96"/>
        <v>46.724375995955221</v>
      </c>
      <c r="F256" s="304">
        <f t="shared" ca="1" si="97"/>
        <v>47.136040464723095</v>
      </c>
      <c r="G256" s="306">
        <f t="shared" ca="1" si="98"/>
        <v>21.084331252002201</v>
      </c>
      <c r="H256" s="307">
        <f t="shared" ca="1" si="99"/>
        <v>191.66255443264228</v>
      </c>
      <c r="I256" s="304">
        <f t="shared" ca="1" si="100"/>
        <v>192.81878486285959</v>
      </c>
      <c r="J256" s="306">
        <f t="shared" ca="1" si="101"/>
        <v>27.810076425978416</v>
      </c>
      <c r="K256" s="307">
        <f t="shared" ca="1" si="102"/>
        <v>268.05474650729258</v>
      </c>
      <c r="L256" s="304">
        <f t="shared" ca="1" si="87"/>
        <v>269.49350173224519</v>
      </c>
      <c r="M256" s="306">
        <f t="shared" ca="1" si="103"/>
        <v>1.4612293237310079</v>
      </c>
      <c r="N256" s="304">
        <f t="shared" ca="1" si="104"/>
        <v>83.722273150542222</v>
      </c>
      <c r="P256" s="310">
        <f t="shared" ca="1" si="105"/>
        <v>7</v>
      </c>
      <c r="Q256" s="304">
        <f t="shared" ca="1" si="106"/>
        <v>509.93617021276793</v>
      </c>
      <c r="R256" s="306">
        <f t="shared" ca="1" si="107"/>
        <v>0.25591320502620485</v>
      </c>
      <c r="S256" s="307">
        <f t="shared" ca="1" si="108"/>
        <v>7.0154038968450454</v>
      </c>
      <c r="T256" s="304">
        <f t="shared" ca="1" si="88"/>
        <v>68.821112228049898</v>
      </c>
      <c r="U256" s="311">
        <f t="shared" ca="1" si="89"/>
        <v>0</v>
      </c>
      <c r="V256" s="306">
        <f t="shared" ca="1" si="90"/>
        <v>1.1925975747472244</v>
      </c>
      <c r="W256" s="304">
        <f t="shared" ca="1" si="91"/>
        <v>111.45740414147194</v>
      </c>
      <c r="Y256" s="314" t="str">
        <f t="shared" ca="1" si="109"/>
        <v/>
      </c>
      <c r="Z256" s="315" t="str">
        <f t="shared" ca="1" si="110"/>
        <v/>
      </c>
      <c r="AA256" s="316" t="str">
        <f t="shared" ca="1" si="111"/>
        <v/>
      </c>
      <c r="AC256" s="310" t="e">
        <f t="shared" ca="1" si="112"/>
        <v>#N/A</v>
      </c>
      <c r="AD256" s="323" t="e">
        <f t="shared" ca="1" si="113"/>
        <v>#N/A</v>
      </c>
      <c r="AE256" s="324">
        <f t="shared" ca="1" si="92"/>
        <v>268.05474650729258</v>
      </c>
      <c r="AG256" s="306">
        <f t="shared" ca="1" si="114"/>
        <v>47.123845152207501</v>
      </c>
      <c r="AH256" s="304">
        <f t="shared" ca="1" si="115"/>
        <v>56.875079496495253</v>
      </c>
    </row>
    <row r="257" spans="1:34" x14ac:dyDescent="0.2">
      <c r="A257" s="347">
        <f t="shared" ca="1" si="93"/>
        <v>0.01</v>
      </c>
      <c r="B257" s="304">
        <f t="shared" ca="1" si="94"/>
        <v>2.52999999999999</v>
      </c>
      <c r="D257" s="306">
        <f t="shared" ca="1" si="95"/>
        <v>6.1814298848434657</v>
      </c>
      <c r="E257" s="307">
        <f t="shared" ca="1" si="96"/>
        <v>46.380951831249874</v>
      </c>
      <c r="F257" s="304">
        <f t="shared" ca="1" si="97"/>
        <v>46.791054360785211</v>
      </c>
      <c r="G257" s="306">
        <f t="shared" ca="1" si="98"/>
        <v>21.146145550850637</v>
      </c>
      <c r="H257" s="307">
        <f t="shared" ca="1" si="99"/>
        <v>192.12636395095478</v>
      </c>
      <c r="I257" s="304">
        <f t="shared" ca="1" si="100"/>
        <v>193.28657272731724</v>
      </c>
      <c r="J257" s="306">
        <f t="shared" ca="1" si="101"/>
        <v>28.021228809992678</v>
      </c>
      <c r="K257" s="307">
        <f t="shared" ca="1" si="102"/>
        <v>269.97369109921055</v>
      </c>
      <c r="L257" s="304">
        <f t="shared" ca="1" si="87"/>
        <v>271.42399147782407</v>
      </c>
      <c r="M257" s="306">
        <f t="shared" ca="1" si="103"/>
        <v>1.4611738256698368</v>
      </c>
      <c r="N257" s="304">
        <f t="shared" ca="1" si="104"/>
        <v>83.719093345865957</v>
      </c>
      <c r="P257" s="310">
        <f t="shared" ca="1" si="105"/>
        <v>7</v>
      </c>
      <c r="Q257" s="304">
        <f t="shared" ca="1" si="106"/>
        <v>507.8936170212786</v>
      </c>
      <c r="R257" s="306">
        <f t="shared" ca="1" si="107"/>
        <v>0.25488814274546401</v>
      </c>
      <c r="S257" s="307">
        <f t="shared" ca="1" si="108"/>
        <v>7.0128550154175908</v>
      </c>
      <c r="T257" s="304">
        <f t="shared" ca="1" si="88"/>
        <v>68.796107701246569</v>
      </c>
      <c r="U257" s="311">
        <f t="shared" ca="1" si="89"/>
        <v>0</v>
      </c>
      <c r="V257" s="306">
        <f t="shared" ca="1" si="90"/>
        <v>1.1923687024328251</v>
      </c>
      <c r="W257" s="304">
        <f t="shared" ca="1" si="91"/>
        <v>111.97736865934895</v>
      </c>
      <c r="Y257" s="314" t="str">
        <f t="shared" ca="1" si="109"/>
        <v/>
      </c>
      <c r="Z257" s="315" t="str">
        <f t="shared" ca="1" si="110"/>
        <v/>
      </c>
      <c r="AA257" s="316" t="str">
        <f t="shared" ca="1" si="111"/>
        <v/>
      </c>
      <c r="AC257" s="310" t="e">
        <f t="shared" ca="1" si="112"/>
        <v>#N/A</v>
      </c>
      <c r="AD257" s="323" t="e">
        <f t="shared" ca="1" si="113"/>
        <v>#N/A</v>
      </c>
      <c r="AE257" s="324">
        <f t="shared" ca="1" si="92"/>
        <v>269.97369109921055</v>
      </c>
      <c r="AG257" s="306">
        <f t="shared" ca="1" si="114"/>
        <v>46.778756679298716</v>
      </c>
      <c r="AH257" s="304">
        <f t="shared" ca="1" si="115"/>
        <v>56.529931391459158</v>
      </c>
    </row>
    <row r="258" spans="1:34" x14ac:dyDescent="0.2">
      <c r="A258" s="347">
        <f t="shared" ca="1" si="93"/>
        <v>0.01</v>
      </c>
      <c r="B258" s="304">
        <f t="shared" ca="1" si="94"/>
        <v>2.5399999999999898</v>
      </c>
      <c r="D258" s="306">
        <f t="shared" ca="1" si="95"/>
        <v>6.1467972814471628</v>
      </c>
      <c r="E258" s="307">
        <f t="shared" ca="1" si="96"/>
        <v>46.037615764687295</v>
      </c>
      <c r="F258" s="304">
        <f t="shared" ca="1" si="97"/>
        <v>46.446153577192916</v>
      </c>
      <c r="G258" s="306">
        <f t="shared" ca="1" si="98"/>
        <v>21.20761352366511</v>
      </c>
      <c r="H258" s="307">
        <f t="shared" ca="1" si="99"/>
        <v>192.58674010860165</v>
      </c>
      <c r="I258" s="304">
        <f t="shared" ca="1" si="100"/>
        <v>193.75091054502741</v>
      </c>
      <c r="J258" s="306">
        <f t="shared" ca="1" si="101"/>
        <v>28.232997605365256</v>
      </c>
      <c r="K258" s="307">
        <f t="shared" ca="1" si="102"/>
        <v>271.89725661950831</v>
      </c>
      <c r="L258" s="304">
        <f t="shared" ca="1" si="87"/>
        <v>273.35914162690688</v>
      </c>
      <c r="M258" s="306">
        <f t="shared" ca="1" si="103"/>
        <v>1.4611184326825057</v>
      </c>
      <c r="N258" s="304">
        <f t="shared" ca="1" si="104"/>
        <v>83.715919561477264</v>
      </c>
      <c r="P258" s="310">
        <f t="shared" ca="1" si="105"/>
        <v>7</v>
      </c>
      <c r="Q258" s="304">
        <f t="shared" ca="1" si="106"/>
        <v>505.85106382978927</v>
      </c>
      <c r="R258" s="306">
        <f t="shared" ca="1" si="107"/>
        <v>0.25386308046472317</v>
      </c>
      <c r="S258" s="307">
        <f t="shared" ca="1" si="108"/>
        <v>7.0103163846129437</v>
      </c>
      <c r="T258" s="304">
        <f t="shared" ca="1" si="88"/>
        <v>68.771203733052985</v>
      </c>
      <c r="U258" s="311">
        <f t="shared" ca="1" si="89"/>
        <v>0</v>
      </c>
      <c r="V258" s="306">
        <f t="shared" ca="1" si="90"/>
        <v>1.1921393224676951</v>
      </c>
      <c r="W258" s="304">
        <f t="shared" ca="1" si="91"/>
        <v>112.49438263522113</v>
      </c>
      <c r="Y258" s="314" t="str">
        <f t="shared" ca="1" si="109"/>
        <v/>
      </c>
      <c r="Z258" s="315" t="str">
        <f t="shared" ca="1" si="110"/>
        <v/>
      </c>
      <c r="AA258" s="316" t="str">
        <f t="shared" ca="1" si="111"/>
        <v/>
      </c>
      <c r="AC258" s="310" t="e">
        <f t="shared" ca="1" si="112"/>
        <v>#N/A</v>
      </c>
      <c r="AD258" s="323" t="e">
        <f t="shared" ca="1" si="113"/>
        <v>#N/A</v>
      </c>
      <c r="AE258" s="324">
        <f t="shared" ca="1" si="92"/>
        <v>271.89725661950831</v>
      </c>
      <c r="AG258" s="306">
        <f t="shared" ca="1" si="114"/>
        <v>46.433752045918176</v>
      </c>
      <c r="AH258" s="304">
        <f t="shared" ca="1" si="115"/>
        <v>56.184867210124786</v>
      </c>
    </row>
    <row r="259" spans="1:34" x14ac:dyDescent="0.2">
      <c r="A259" s="347">
        <f t="shared" ca="1" si="93"/>
        <v>0.01</v>
      </c>
      <c r="B259" s="304">
        <f t="shared" ca="1" si="94"/>
        <v>2.5499999999999896</v>
      </c>
      <c r="D259" s="306">
        <f t="shared" ca="1" si="95"/>
        <v>6.1121305366181238</v>
      </c>
      <c r="E259" s="307">
        <f t="shared" ca="1" si="96"/>
        <v>45.694373174850853</v>
      </c>
      <c r="F259" s="304">
        <f t="shared" ca="1" si="97"/>
        <v>46.101343576290581</v>
      </c>
      <c r="G259" s="306">
        <f t="shared" ca="1" si="98"/>
        <v>21.268734829031292</v>
      </c>
      <c r="H259" s="307">
        <f t="shared" ca="1" si="99"/>
        <v>193.04368384035016</v>
      </c>
      <c r="I259" s="304">
        <f t="shared" ca="1" si="100"/>
        <v>194.2117992087008</v>
      </c>
      <c r="J259" s="306">
        <f t="shared" ca="1" si="101"/>
        <v>28.445379347128739</v>
      </c>
      <c r="K259" s="307">
        <f t="shared" ca="1" si="102"/>
        <v>273.82540873925308</v>
      </c>
      <c r="L259" s="304">
        <f t="shared" ca="1" si="87"/>
        <v>275.2989176829816</v>
      </c>
      <c r="M259" s="306">
        <f t="shared" ca="1" si="103"/>
        <v>1.4610631433376029</v>
      </c>
      <c r="N259" s="304">
        <f t="shared" ca="1" si="104"/>
        <v>83.712751715362288</v>
      </c>
      <c r="P259" s="310">
        <f t="shared" ca="1" si="105"/>
        <v>7</v>
      </c>
      <c r="Q259" s="304">
        <f t="shared" ca="1" si="106"/>
        <v>503.80851063829999</v>
      </c>
      <c r="R259" s="306">
        <f t="shared" ca="1" si="107"/>
        <v>0.25283801818398238</v>
      </c>
      <c r="S259" s="307">
        <f t="shared" ca="1" si="108"/>
        <v>7.0077880044311041</v>
      </c>
      <c r="T259" s="304">
        <f t="shared" ca="1" si="88"/>
        <v>68.746400323469132</v>
      </c>
      <c r="U259" s="311">
        <f t="shared" ca="1" si="89"/>
        <v>0</v>
      </c>
      <c r="V259" s="306">
        <f t="shared" ca="1" si="90"/>
        <v>1.1919094392456404</v>
      </c>
      <c r="W259" s="304">
        <f t="shared" ca="1" si="91"/>
        <v>113.00841959361203</v>
      </c>
      <c r="Y259" s="314" t="str">
        <f t="shared" ca="1" si="109"/>
        <v/>
      </c>
      <c r="Z259" s="315" t="str">
        <f t="shared" ca="1" si="110"/>
        <v/>
      </c>
      <c r="AA259" s="316" t="str">
        <f t="shared" ca="1" si="111"/>
        <v/>
      </c>
      <c r="AC259" s="310" t="e">
        <f t="shared" ca="1" si="112"/>
        <v>#N/A</v>
      </c>
      <c r="AD259" s="323" t="e">
        <f t="shared" ca="1" si="113"/>
        <v>#N/A</v>
      </c>
      <c r="AE259" s="324">
        <f t="shared" ca="1" si="92"/>
        <v>273.82540873925308</v>
      </c>
      <c r="AG259" s="306">
        <f t="shared" ca="1" si="114"/>
        <v>46.088836682922263</v>
      </c>
      <c r="AH259" s="304">
        <f t="shared" ca="1" si="115"/>
        <v>55.839892381967957</v>
      </c>
    </row>
    <row r="260" spans="1:34" x14ac:dyDescent="0.2">
      <c r="A260" s="347">
        <f t="shared" ca="1" si="93"/>
        <v>0.01</v>
      </c>
      <c r="B260" s="304">
        <f t="shared" ca="1" si="94"/>
        <v>2.5599999999999894</v>
      </c>
      <c r="D260" s="306">
        <f t="shared" ca="1" si="95"/>
        <v>6.0774304429391979</v>
      </c>
      <c r="E260" s="307">
        <f t="shared" ca="1" si="96"/>
        <v>45.351229401716566</v>
      </c>
      <c r="F260" s="304">
        <f t="shared" ca="1" si="97"/>
        <v>45.756629782315535</v>
      </c>
      <c r="G260" s="306">
        <f t="shared" ca="1" si="98"/>
        <v>21.329509133460682</v>
      </c>
      <c r="H260" s="307">
        <f t="shared" ca="1" si="99"/>
        <v>193.49719613436733</v>
      </c>
      <c r="I260" s="304">
        <f t="shared" ca="1" si="100"/>
        <v>194.6692396649666</v>
      </c>
      <c r="J260" s="306">
        <f t="shared" ca="1" si="101"/>
        <v>28.658370566941198</v>
      </c>
      <c r="K260" s="307">
        <f t="shared" ca="1" si="102"/>
        <v>275.75811313912669</v>
      </c>
      <c r="L260" s="304">
        <f t="shared" ref="L260:L323" ca="1" si="116">SQRT(pos_x^2+pos_z^2)</f>
        <v>277.24328515872753</v>
      </c>
      <c r="M260" s="306">
        <f t="shared" ca="1" si="103"/>
        <v>1.4610079562189418</v>
      </c>
      <c r="N260" s="304">
        <f t="shared" ca="1" si="104"/>
        <v>83.709589726379519</v>
      </c>
      <c r="P260" s="310">
        <f t="shared" ca="1" si="105"/>
        <v>7</v>
      </c>
      <c r="Q260" s="304">
        <f t="shared" ca="1" si="106"/>
        <v>501.76595744681066</v>
      </c>
      <c r="R260" s="306">
        <f t="shared" ca="1" si="107"/>
        <v>0.2518129559032416</v>
      </c>
      <c r="S260" s="307">
        <f t="shared" ca="1" si="108"/>
        <v>7.0052698748720719</v>
      </c>
      <c r="T260" s="304">
        <f t="shared" ref="T260:T323" ca="1" si="117">m*g</f>
        <v>68.721697472495023</v>
      </c>
      <c r="U260" s="311">
        <f t="shared" ref="U260:U323" ca="1" si="118">IF(pos_xz&lt;L_rampe,Poids*COS(Beta),0)</f>
        <v>0</v>
      </c>
      <c r="V260" s="306">
        <f t="shared" ref="V260:V323" ca="1" si="119">Rho_moyen*(20000-Alt_rampe-pos_z)/(20000+Alt_rampe+pos_z)</f>
        <v>1.1916790571567801</v>
      </c>
      <c r="W260" s="304">
        <f t="shared" ref="W260:W323" ca="1" si="120">1/2*Rho*Sref*Cx*vit_xz^2</f>
        <v>113.51945338150456</v>
      </c>
      <c r="Y260" s="314" t="str">
        <f t="shared" ca="1" si="109"/>
        <v/>
      </c>
      <c r="Z260" s="315" t="str">
        <f t="shared" ca="1" si="110"/>
        <v/>
      </c>
      <c r="AA260" s="316" t="str">
        <f t="shared" ca="1" si="111"/>
        <v/>
      </c>
      <c r="AC260" s="310" t="e">
        <f t="shared" ca="1" si="112"/>
        <v>#N/A</v>
      </c>
      <c r="AD260" s="323" t="e">
        <f t="shared" ca="1" si="113"/>
        <v>#N/A</v>
      </c>
      <c r="AE260" s="324">
        <f t="shared" ref="AE260:AE323" ca="1" si="121">IF(t&lt;T_para, pos_z, NA())</f>
        <v>275.75811313912669</v>
      </c>
      <c r="AG260" s="306">
        <f t="shared" ca="1" si="114"/>
        <v>45.744015982170623</v>
      </c>
      <c r="AH260" s="304">
        <f t="shared" ca="1" si="115"/>
        <v>55.495012297480976</v>
      </c>
    </row>
    <row r="261" spans="1:34" x14ac:dyDescent="0.2">
      <c r="A261" s="347">
        <f t="shared" ref="A261:A324" ca="1" si="122">IF(B260+0.01&lt;=T_ini+ROUNDUP(Temps_fin_propu,0), 0.01, IF(K260&gt;0, 0.1, 0.0001))</f>
        <v>0.01</v>
      </c>
      <c r="B261" s="304">
        <f t="shared" ref="B261:B324" ca="1" si="123">B260+pas</f>
        <v>2.5699999999999892</v>
      </c>
      <c r="D261" s="306">
        <f t="shared" ref="D261:D324" ca="1" si="124">IF(AND(L260&lt;L_rampe,Poussee&lt;Poids*SIN(M260)),0,(-W260+Poussee)/m*COS(M260)-U260/m*SIN(M260))</f>
        <v>6.0426977870332692</v>
      </c>
      <c r="E261" s="307">
        <f t="shared" ref="E261:E324" ca="1" si="125">IF(AND(L260&lt;L_rampe,Poussee&lt;Poids*SIN(M260)),0,(-W260+Poussee)/m*SIN(M260)+U260/m*COS(M260)-Poids/m)</f>
        <v>45.008189746524884</v>
      </c>
      <c r="F261" s="304">
        <f t="shared" ref="F261:F324" ca="1" si="126">SQRT(acc_x^2+acc_z^2)</f>
        <v>45.412017581303346</v>
      </c>
      <c r="G261" s="306">
        <f t="shared" ref="G261:G324" ca="1" si="127">G260+acc_x*pas</f>
        <v>21.389936111331014</v>
      </c>
      <c r="H261" s="307">
        <f t="shared" ref="H261:H324" ca="1" si="128">H260+acc_z*pas</f>
        <v>193.94727803183258</v>
      </c>
      <c r="I261" s="304">
        <f t="shared" ref="I261:I324" ca="1" si="129">SQRT(vit_x^2+vit_z^2)</f>
        <v>195.1232329139813</v>
      </c>
      <c r="J261" s="306">
        <f t="shared" ref="J261:J324" ca="1" si="130">J260+0.5*(vit_x+G260)*pas*(K260&gt;=0)</f>
        <v>28.871967793165155</v>
      </c>
      <c r="K261" s="307">
        <f t="shared" ref="K261:K324" ca="1" si="131">K260+0.5*(vit_z+H260)*pas</f>
        <v>277.69533550995772</v>
      </c>
      <c r="L261" s="304">
        <f t="shared" ca="1" si="116"/>
        <v>279.19220957655239</v>
      </c>
      <c r="M261" s="306">
        <f t="shared" ref="M261:M324" ca="1" si="132">IF(AND(L260&gt;L_rampe,G261&gt;0),ATAN2(G261,H261),$M$4)</f>
        <v>1.4609528699252901</v>
      </c>
      <c r="N261" s="304">
        <f t="shared" ref="N261:N324" ca="1" si="133">DEGREES(Beta)</f>
        <v>83.706433514244253</v>
      </c>
      <c r="P261" s="310">
        <f t="shared" ref="P261:P324" ca="1" si="134">MATCH(t-pas/2-T_ini,CdP_t)</f>
        <v>7</v>
      </c>
      <c r="Q261" s="304">
        <f t="shared" ref="Q261:Q324" ca="1" si="135">(INDEX(CdP,2,i_P+1)-INDEX(CdP,2,i_P+0))/(INDEX(CdP,1,i_P+1)-INDEX(CdP,1,i_P+0))*(t-pas/2-T_ini-INDEX(CdP,1,i_P+0))+INDEX(CdP,2,i_P+0)</f>
        <v>499.72340425532133</v>
      </c>
      <c r="R261" s="306">
        <f t="shared" ref="R261:R324" ca="1" si="136">Poussee/(g*ISP)</f>
        <v>0.25078789362250076</v>
      </c>
      <c r="S261" s="307">
        <f t="shared" ref="S261:S324" ca="1" si="137">S260-Débit*pas</f>
        <v>7.0027619959358471</v>
      </c>
      <c r="T261" s="304">
        <f t="shared" ca="1" si="117"/>
        <v>68.69709518013066</v>
      </c>
      <c r="U261" s="311">
        <f t="shared" ca="1" si="118"/>
        <v>0</v>
      </c>
      <c r="V261" s="306">
        <f t="shared" ca="1" si="119"/>
        <v>1.1914481805874668</v>
      </c>
      <c r="W261" s="304">
        <f t="shared" ca="1" si="120"/>
        <v>114.02745816815492</v>
      </c>
      <c r="Y261" s="314" t="str">
        <f t="shared" ref="Y261:Y324" ca="1" si="138">IF(AND(pos_z&lt;=0,K260&gt;0),"Impact balistique","") &amp; IF(AND(H262&lt;0,vit_z&gt;=0),"Apogée","") &amp; IF(AND(Poussee=0,Q260&gt;0),"Fin de propulsion","") &amp; IF(AND(L262&gt;L_rampe,pos_xz&lt;=L_rampe),"Sortie de rampe","")</f>
        <v/>
      </c>
      <c r="Z261" s="315" t="str">
        <f t="shared" ref="Z261:Z324" ca="1" si="139">IF(ABS(t-T_para)&lt;pas/2,"Para","")</f>
        <v/>
      </c>
      <c r="AA261" s="316" t="str">
        <f t="shared" ref="AA261:AA324" ca="1" si="140">IF(ABS(t-T_satellite)&lt;pas/2,"Satellite","")</f>
        <v/>
      </c>
      <c r="AC261" s="310" t="e">
        <f t="shared" ref="AC261:AC324" ca="1" si="141">IF(ABS(t-ROUND(t,0))&lt;0.001,t,NA())</f>
        <v>#N/A</v>
      </c>
      <c r="AD261" s="323" t="e">
        <f t="shared" ref="AD261:AD324" ca="1" si="142">IF(ABS(t-ROUND(t,0))&lt;0.001,pos_x,NA())</f>
        <v>#N/A</v>
      </c>
      <c r="AE261" s="324">
        <f t="shared" ca="1" si="121"/>
        <v>277.69533550995772</v>
      </c>
      <c r="AG261" s="306">
        <f t="shared" ref="AG261:AG324" ca="1" si="143">IF(AND(L260&lt;L_rampe,Poussee&lt;Poids*SIN(M260)),0,(-W260+Poussee)/m-Poids*SIN(M260)/m)</f>
        <v>45.399295296399664</v>
      </c>
      <c r="AH261" s="304">
        <f t="shared" ref="AH261:AH324" ca="1" si="144">IF(AND(L260&lt;L_rampe,Poussee&lt;Poids*SIN(M260)), g*SIN(M260), (-W260+Poussee)/m)</f>
        <v>55.150232308045844</v>
      </c>
    </row>
    <row r="262" spans="1:34" x14ac:dyDescent="0.2">
      <c r="A262" s="347">
        <f t="shared" ca="1" si="122"/>
        <v>0.01</v>
      </c>
      <c r="B262" s="304">
        <f t="shared" ca="1" si="123"/>
        <v>2.579999999999989</v>
      </c>
      <c r="D262" s="306">
        <f t="shared" ca="1" si="124"/>
        <v>6.0079333495759624</v>
      </c>
      <c r="E262" s="307">
        <f t="shared" ca="1" si="125"/>
        <v>44.665259471657258</v>
      </c>
      <c r="F262" s="304">
        <f t="shared" ca="1" si="126"/>
        <v>45.067512320999214</v>
      </c>
      <c r="G262" s="306">
        <f t="shared" ca="1" si="127"/>
        <v>21.450015444826775</v>
      </c>
      <c r="H262" s="307">
        <f t="shared" ca="1" si="128"/>
        <v>194.39393062654915</v>
      </c>
      <c r="I262" s="304">
        <f t="shared" ca="1" si="129"/>
        <v>195.57378000903626</v>
      </c>
      <c r="J262" s="306">
        <f t="shared" ca="1" si="130"/>
        <v>29.086167550945945</v>
      </c>
      <c r="K262" s="307">
        <f t="shared" ca="1" si="131"/>
        <v>279.63704155324962</v>
      </c>
      <c r="L262" s="304">
        <f t="shared" ca="1" si="116"/>
        <v>281.14565646912553</v>
      </c>
      <c r="M262" s="306">
        <f t="shared" ca="1" si="132"/>
        <v>1.4608978830701014</v>
      </c>
      <c r="N262" s="304">
        <f t="shared" ca="1" si="133"/>
        <v>83.703282999513249</v>
      </c>
      <c r="P262" s="310">
        <f t="shared" ca="1" si="134"/>
        <v>7</v>
      </c>
      <c r="Q262" s="304">
        <f t="shared" ca="1" si="135"/>
        <v>497.68085106383205</v>
      </c>
      <c r="R262" s="306">
        <f t="shared" ca="1" si="136"/>
        <v>0.24976283134175997</v>
      </c>
      <c r="S262" s="307">
        <f t="shared" ca="1" si="137"/>
        <v>7.0002643676224299</v>
      </c>
      <c r="T262" s="304">
        <f t="shared" ca="1" si="117"/>
        <v>68.672593446376041</v>
      </c>
      <c r="U262" s="311">
        <f t="shared" ca="1" si="118"/>
        <v>0</v>
      </c>
      <c r="V262" s="306">
        <f t="shared" ca="1" si="119"/>
        <v>1.1912168139202066</v>
      </c>
      <c r="W262" s="304">
        <f t="shared" ca="1" si="120"/>
        <v>114.5324084448779</v>
      </c>
      <c r="Y262" s="314" t="str">
        <f t="shared" ca="1" si="138"/>
        <v/>
      </c>
      <c r="Z262" s="315" t="str">
        <f t="shared" ca="1" si="139"/>
        <v/>
      </c>
      <c r="AA262" s="316" t="str">
        <f t="shared" ca="1" si="140"/>
        <v/>
      </c>
      <c r="AC262" s="310" t="e">
        <f t="shared" ca="1" si="141"/>
        <v>#N/A</v>
      </c>
      <c r="AD262" s="323" t="e">
        <f t="shared" ca="1" si="142"/>
        <v>#N/A</v>
      </c>
      <c r="AE262" s="324">
        <f t="shared" ca="1" si="121"/>
        <v>279.63704155324962</v>
      </c>
      <c r="AG262" s="306">
        <f t="shared" ca="1" si="143"/>
        <v>45.054679939100666</v>
      </c>
      <c r="AH262" s="304">
        <f t="shared" ca="1" si="144"/>
        <v>54.805557725812179</v>
      </c>
    </row>
    <row r="263" spans="1:34" x14ac:dyDescent="0.2">
      <c r="A263" s="347">
        <f t="shared" ca="1" si="122"/>
        <v>0.01</v>
      </c>
      <c r="B263" s="304">
        <f t="shared" ca="1" si="123"/>
        <v>2.5899999999999888</v>
      </c>
      <c r="D263" s="306">
        <f t="shared" ca="1" si="124"/>
        <v>5.9731379053082945</v>
      </c>
      <c r="E263" s="307">
        <f t="shared" ca="1" si="125"/>
        <v>44.322443800517199</v>
      </c>
      <c r="F263" s="304">
        <f t="shared" ca="1" si="126"/>
        <v>44.723119310775232</v>
      </c>
      <c r="G263" s="306">
        <f t="shared" ca="1" si="127"/>
        <v>21.509746823879858</v>
      </c>
      <c r="H263" s="307">
        <f t="shared" ca="1" si="128"/>
        <v>194.83715506455431</v>
      </c>
      <c r="I263" s="304">
        <f t="shared" ca="1" si="129"/>
        <v>196.02088205616408</v>
      </c>
      <c r="J263" s="306">
        <f t="shared" ca="1" si="130"/>
        <v>29.300966362289479</v>
      </c>
      <c r="K263" s="307">
        <f t="shared" ca="1" si="131"/>
        <v>281.58319698170516</v>
      </c>
      <c r="L263" s="304">
        <f t="shared" ca="1" si="116"/>
        <v>283.10359137990775</v>
      </c>
      <c r="M263" s="306">
        <f t="shared" ca="1" si="132"/>
        <v>1.4608429942812542</v>
      </c>
      <c r="N263" s="304">
        <f t="shared" ca="1" si="133"/>
        <v>83.700138103569728</v>
      </c>
      <c r="P263" s="310">
        <f t="shared" ca="1" si="134"/>
        <v>7</v>
      </c>
      <c r="Q263" s="304">
        <f t="shared" ca="1" si="135"/>
        <v>495.63829787234272</v>
      </c>
      <c r="R263" s="306">
        <f t="shared" ca="1" si="136"/>
        <v>0.24873776906101916</v>
      </c>
      <c r="S263" s="307">
        <f t="shared" ca="1" si="137"/>
        <v>6.9977769899318201</v>
      </c>
      <c r="T263" s="304">
        <f t="shared" ca="1" si="117"/>
        <v>68.648192271231153</v>
      </c>
      <c r="U263" s="311">
        <f t="shared" ca="1" si="118"/>
        <v>0</v>
      </c>
      <c r="V263" s="306">
        <f t="shared" ca="1" si="119"/>
        <v>1.1909849615335828</v>
      </c>
      <c r="W263" s="304">
        <f t="shared" ca="1" si="120"/>
        <v>115.0342790248048</v>
      </c>
      <c r="Y263" s="314" t="str">
        <f t="shared" ca="1" si="138"/>
        <v/>
      </c>
      <c r="Z263" s="315" t="str">
        <f t="shared" ca="1" si="139"/>
        <v/>
      </c>
      <c r="AA263" s="316" t="str">
        <f t="shared" ca="1" si="140"/>
        <v/>
      </c>
      <c r="AC263" s="310" t="e">
        <f t="shared" ca="1" si="141"/>
        <v>#N/A</v>
      </c>
      <c r="AD263" s="323" t="e">
        <f t="shared" ca="1" si="142"/>
        <v>#N/A</v>
      </c>
      <c r="AE263" s="324">
        <f t="shared" ca="1" si="121"/>
        <v>281.58319698170516</v>
      </c>
      <c r="AG263" s="306">
        <f t="shared" ca="1" si="143"/>
        <v>44.710175184402502</v>
      </c>
      <c r="AH263" s="304">
        <f t="shared" ca="1" si="144"/>
        <v>54.460993823579678</v>
      </c>
    </row>
    <row r="264" spans="1:34" x14ac:dyDescent="0.2">
      <c r="A264" s="347">
        <f t="shared" ca="1" si="122"/>
        <v>0.01</v>
      </c>
      <c r="B264" s="304">
        <f t="shared" ca="1" si="123"/>
        <v>2.5999999999999885</v>
      </c>
      <c r="D264" s="306">
        <f t="shared" ca="1" si="124"/>
        <v>5.9383122230490324</v>
      </c>
      <c r="E264" s="307">
        <f t="shared" ca="1" si="125"/>
        <v>43.979747917416233</v>
      </c>
      <c r="F264" s="304">
        <f t="shared" ca="1" si="126"/>
        <v>44.378843821554106</v>
      </c>
      <c r="G264" s="306">
        <f t="shared" ca="1" si="127"/>
        <v>21.569129946110348</v>
      </c>
      <c r="H264" s="307">
        <f t="shared" ca="1" si="128"/>
        <v>195.27695254372847</v>
      </c>
      <c r="I264" s="304">
        <f t="shared" ca="1" si="129"/>
        <v>196.46454021374385</v>
      </c>
      <c r="J264" s="306">
        <f t="shared" ca="1" si="130"/>
        <v>29.51636074613943</v>
      </c>
      <c r="K264" s="307">
        <f t="shared" ca="1" si="131"/>
        <v>283.53376751974656</v>
      </c>
      <c r="L264" s="304">
        <f t="shared" ca="1" si="116"/>
        <v>285.06597986367638</v>
      </c>
      <c r="M264" s="306">
        <f t="shared" ca="1" si="132"/>
        <v>1.4607882022007947</v>
      </c>
      <c r="N264" s="304">
        <f t="shared" ca="1" si="133"/>
        <v>83.69699874860865</v>
      </c>
      <c r="P264" s="310">
        <f t="shared" ca="1" si="134"/>
        <v>7</v>
      </c>
      <c r="Q264" s="304">
        <f t="shared" ca="1" si="135"/>
        <v>493.59574468085339</v>
      </c>
      <c r="R264" s="306">
        <f t="shared" ca="1" si="136"/>
        <v>0.24771270678027832</v>
      </c>
      <c r="S264" s="307">
        <f t="shared" ca="1" si="137"/>
        <v>6.9952998628640177</v>
      </c>
      <c r="T264" s="304">
        <f t="shared" ca="1" si="117"/>
        <v>68.623891654696024</v>
      </c>
      <c r="U264" s="311">
        <f t="shared" ca="1" si="118"/>
        <v>0</v>
      </c>
      <c r="V264" s="306">
        <f t="shared" ca="1" si="119"/>
        <v>1.1907526278021761</v>
      </c>
      <c r="W264" s="304">
        <f t="shared" ca="1" si="120"/>
        <v>115.53304504261249</v>
      </c>
      <c r="Y264" s="314" t="str">
        <f t="shared" ca="1" si="138"/>
        <v/>
      </c>
      <c r="Z264" s="315" t="str">
        <f t="shared" ca="1" si="139"/>
        <v/>
      </c>
      <c r="AA264" s="316" t="str">
        <f t="shared" ca="1" si="140"/>
        <v/>
      </c>
      <c r="AC264" s="310" t="e">
        <f t="shared" ca="1" si="141"/>
        <v>#N/A</v>
      </c>
      <c r="AD264" s="323" t="e">
        <f t="shared" ca="1" si="142"/>
        <v>#N/A</v>
      </c>
      <c r="AE264" s="324">
        <f t="shared" ca="1" si="121"/>
        <v>283.53376751974656</v>
      </c>
      <c r="AG264" s="306">
        <f t="shared" ca="1" si="143"/>
        <v>44.365786266959091</v>
      </c>
      <c r="AH264" s="304">
        <f t="shared" ca="1" si="144"/>
        <v>54.116545834685326</v>
      </c>
    </row>
    <row r="265" spans="1:34" x14ac:dyDescent="0.2">
      <c r="A265" s="347">
        <f t="shared" ca="1" si="122"/>
        <v>0.01</v>
      </c>
      <c r="B265" s="304">
        <f t="shared" ca="1" si="123"/>
        <v>2.6099999999999883</v>
      </c>
      <c r="D265" s="306">
        <f t="shared" ca="1" si="124"/>
        <v>5.9034570657069487</v>
      </c>
      <c r="E265" s="307">
        <f t="shared" ca="1" si="125"/>
        <v>43.637176967464377</v>
      </c>
      <c r="F265" s="304">
        <f t="shared" ca="1" si="126"/>
        <v>44.034691085738856</v>
      </c>
      <c r="G265" s="306">
        <f t="shared" ca="1" si="127"/>
        <v>21.628164516767416</v>
      </c>
      <c r="H265" s="307">
        <f t="shared" ca="1" si="128"/>
        <v>195.71332431340312</v>
      </c>
      <c r="I265" s="304">
        <f t="shared" ca="1" si="129"/>
        <v>196.90475569210528</v>
      </c>
      <c r="J265" s="306">
        <f t="shared" ca="1" si="130"/>
        <v>29.732347218453818</v>
      </c>
      <c r="K265" s="307">
        <f t="shared" ca="1" si="131"/>
        <v>285.48871890403223</v>
      </c>
      <c r="L265" s="304">
        <f t="shared" ca="1" si="116"/>
        <v>287.0327874870469</v>
      </c>
      <c r="M265" s="306">
        <f t="shared" ca="1" si="132"/>
        <v>1.4607335054846853</v>
      </c>
      <c r="N265" s="304">
        <f t="shared" ca="1" si="133"/>
        <v>83.693864857622358</v>
      </c>
      <c r="P265" s="310">
        <f t="shared" ca="1" si="134"/>
        <v>7</v>
      </c>
      <c r="Q265" s="304">
        <f t="shared" ca="1" si="135"/>
        <v>491.55319148936405</v>
      </c>
      <c r="R265" s="306">
        <f t="shared" ca="1" si="136"/>
        <v>0.24668764449953751</v>
      </c>
      <c r="S265" s="307">
        <f t="shared" ca="1" si="137"/>
        <v>6.992832986419022</v>
      </c>
      <c r="T265" s="304">
        <f t="shared" ca="1" si="117"/>
        <v>68.599691596770612</v>
      </c>
      <c r="U265" s="311">
        <f t="shared" ca="1" si="118"/>
        <v>0</v>
      </c>
      <c r="V265" s="306">
        <f t="shared" ca="1" si="119"/>
        <v>1.1905198170964912</v>
      </c>
      <c r="W265" s="304">
        <f t="shared" ca="1" si="120"/>
        <v>116.0286819542263</v>
      </c>
      <c r="Y265" s="314" t="str">
        <f t="shared" ca="1" si="138"/>
        <v/>
      </c>
      <c r="Z265" s="315" t="str">
        <f t="shared" ca="1" si="139"/>
        <v/>
      </c>
      <c r="AA265" s="316" t="str">
        <f t="shared" ca="1" si="140"/>
        <v/>
      </c>
      <c r="AC265" s="310" t="e">
        <f t="shared" ca="1" si="141"/>
        <v>#N/A</v>
      </c>
      <c r="AD265" s="323" t="e">
        <f t="shared" ca="1" si="142"/>
        <v>#N/A</v>
      </c>
      <c r="AE265" s="324">
        <f t="shared" ca="1" si="121"/>
        <v>285.48871890403223</v>
      </c>
      <c r="AG265" s="306">
        <f t="shared" ca="1" si="143"/>
        <v>44.021518381841375</v>
      </c>
      <c r="AH265" s="304">
        <f t="shared" ca="1" si="144"/>
        <v>53.772218952895187</v>
      </c>
    </row>
    <row r="266" spans="1:34" x14ac:dyDescent="0.2">
      <c r="A266" s="347">
        <f t="shared" ca="1" si="122"/>
        <v>0.01</v>
      </c>
      <c r="B266" s="304">
        <f t="shared" ca="1" si="123"/>
        <v>2.6199999999999881</v>
      </c>
      <c r="D266" s="306">
        <f t="shared" ca="1" si="124"/>
        <v>5.8685731902928993</v>
      </c>
      <c r="E266" s="307">
        <f t="shared" ca="1" si="125"/>
        <v>43.294736056465105</v>
      </c>
      <c r="F266" s="304">
        <f t="shared" ca="1" si="126"/>
        <v>43.690666297148688</v>
      </c>
      <c r="G266" s="306">
        <f t="shared" ca="1" si="127"/>
        <v>21.686850248670346</v>
      </c>
      <c r="H266" s="307">
        <f t="shared" ca="1" si="128"/>
        <v>196.14627167396776</v>
      </c>
      <c r="I266" s="304">
        <f t="shared" ca="1" si="129"/>
        <v>197.34152975313185</v>
      </c>
      <c r="J266" s="306">
        <f t="shared" ca="1" si="130"/>
        <v>29.948922292281008</v>
      </c>
      <c r="K266" s="307">
        <f t="shared" ca="1" si="131"/>
        <v>287.4480168839691</v>
      </c>
      <c r="L266" s="304">
        <f t="shared" ca="1" si="116"/>
        <v>289.00397982899074</v>
      </c>
      <c r="M266" s="306">
        <f t="shared" ca="1" si="132"/>
        <v>1.4606789028025582</v>
      </c>
      <c r="N266" s="304">
        <f t="shared" ca="1" si="133"/>
        <v>83.690736354386374</v>
      </c>
      <c r="P266" s="310">
        <f t="shared" ca="1" si="134"/>
        <v>7</v>
      </c>
      <c r="Q266" s="304">
        <f t="shared" ca="1" si="135"/>
        <v>489.51063829787478</v>
      </c>
      <c r="R266" s="306">
        <f t="shared" ca="1" si="136"/>
        <v>0.24566258221879672</v>
      </c>
      <c r="S266" s="307">
        <f t="shared" ca="1" si="137"/>
        <v>6.9903763605968336</v>
      </c>
      <c r="T266" s="304">
        <f t="shared" ca="1" si="117"/>
        <v>68.575592097454944</v>
      </c>
      <c r="U266" s="311">
        <f t="shared" ca="1" si="118"/>
        <v>0</v>
      </c>
      <c r="V266" s="306">
        <f t="shared" ca="1" si="119"/>
        <v>1.1902865337828779</v>
      </c>
      <c r="W266" s="304">
        <f t="shared" ca="1" si="120"/>
        <v>116.52116553649451</v>
      </c>
      <c r="Y266" s="314" t="str">
        <f t="shared" ca="1" si="138"/>
        <v/>
      </c>
      <c r="Z266" s="315" t="str">
        <f t="shared" ca="1" si="139"/>
        <v/>
      </c>
      <c r="AA266" s="316" t="str">
        <f t="shared" ca="1" si="140"/>
        <v/>
      </c>
      <c r="AC266" s="310" t="e">
        <f t="shared" ca="1" si="141"/>
        <v>#N/A</v>
      </c>
      <c r="AD266" s="323" t="e">
        <f t="shared" ca="1" si="142"/>
        <v>#N/A</v>
      </c>
      <c r="AE266" s="324">
        <f t="shared" ca="1" si="121"/>
        <v>287.4480168839691</v>
      </c>
      <c r="AG266" s="306">
        <f t="shared" ca="1" si="143"/>
        <v>43.677376684433781</v>
      </c>
      <c r="AH266" s="304">
        <f t="shared" ca="1" si="144"/>
        <v>53.42801833230061</v>
      </c>
    </row>
    <row r="267" spans="1:34" x14ac:dyDescent="0.2">
      <c r="A267" s="347">
        <f t="shared" ca="1" si="122"/>
        <v>0.01</v>
      </c>
      <c r="B267" s="304">
        <f t="shared" ca="1" si="123"/>
        <v>2.6299999999999879</v>
      </c>
      <c r="D267" s="306">
        <f t="shared" ca="1" si="124"/>
        <v>5.8336613479317245</v>
      </c>
      <c r="E267" s="307">
        <f t="shared" ca="1" si="125"/>
        <v>42.952430250815112</v>
      </c>
      <c r="F267" s="304">
        <f t="shared" ca="1" si="126"/>
        <v>43.346774610961425</v>
      </c>
      <c r="G267" s="306">
        <f t="shared" ca="1" si="127"/>
        <v>21.745186862149662</v>
      </c>
      <c r="H267" s="307">
        <f t="shared" ca="1" si="128"/>
        <v>196.57579597647592</v>
      </c>
      <c r="I267" s="304">
        <f t="shared" ca="1" si="129"/>
        <v>197.77486370986301</v>
      </c>
      <c r="J267" s="306">
        <f t="shared" ca="1" si="130"/>
        <v>30.166082477835108</v>
      </c>
      <c r="K267" s="307">
        <f t="shared" ca="1" si="131"/>
        <v>289.41162722222134</v>
      </c>
      <c r="L267" s="304">
        <f t="shared" ca="1" si="116"/>
        <v>290.97952248134845</v>
      </c>
      <c r="M267" s="306">
        <f t="shared" ca="1" si="132"/>
        <v>1.4606243928374738</v>
      </c>
      <c r="N267" s="304">
        <f t="shared" ca="1" si="133"/>
        <v>83.687613163445633</v>
      </c>
      <c r="P267" s="310">
        <f t="shared" ca="1" si="134"/>
        <v>7</v>
      </c>
      <c r="Q267" s="304">
        <f t="shared" ca="1" si="135"/>
        <v>487.46808510638544</v>
      </c>
      <c r="R267" s="306">
        <f t="shared" ca="1" si="136"/>
        <v>0.24463751993805591</v>
      </c>
      <c r="S267" s="307">
        <f t="shared" ca="1" si="137"/>
        <v>6.9879299853974528</v>
      </c>
      <c r="T267" s="304">
        <f t="shared" ca="1" si="117"/>
        <v>68.551593156749021</v>
      </c>
      <c r="U267" s="311">
        <f t="shared" ca="1" si="118"/>
        <v>0</v>
      </c>
      <c r="V267" s="306">
        <f t="shared" ca="1" si="119"/>
        <v>1.1900527822234581</v>
      </c>
      <c r="W267" s="304">
        <f t="shared" ca="1" si="120"/>
        <v>117.01047188683712</v>
      </c>
      <c r="Y267" s="314" t="str">
        <f t="shared" ca="1" si="138"/>
        <v/>
      </c>
      <c r="Z267" s="315" t="str">
        <f t="shared" ca="1" si="139"/>
        <v/>
      </c>
      <c r="AA267" s="316" t="str">
        <f t="shared" ca="1" si="140"/>
        <v/>
      </c>
      <c r="AC267" s="310" t="e">
        <f t="shared" ca="1" si="141"/>
        <v>#N/A</v>
      </c>
      <c r="AD267" s="323" t="e">
        <f t="shared" ca="1" si="142"/>
        <v>#N/A</v>
      </c>
      <c r="AE267" s="324">
        <f t="shared" ca="1" si="121"/>
        <v>289.41162722222134</v>
      </c>
      <c r="AG267" s="306">
        <f t="shared" ca="1" si="143"/>
        <v>43.333366290335405</v>
      </c>
      <c r="AH267" s="304">
        <f t="shared" ca="1" si="144"/>
        <v>53.083949087219224</v>
      </c>
    </row>
    <row r="268" spans="1:34" x14ac:dyDescent="0.2">
      <c r="A268" s="347">
        <f t="shared" ca="1" si="122"/>
        <v>0.01</v>
      </c>
      <c r="B268" s="304">
        <f t="shared" ca="1" si="123"/>
        <v>2.6399999999999877</v>
      </c>
      <c r="D268" s="306">
        <f t="shared" ca="1" si="124"/>
        <v>5.7987222838740564</v>
      </c>
      <c r="E268" s="307">
        <f t="shared" ca="1" si="125"/>
        <v>42.610264577408365</v>
      </c>
      <c r="F268" s="304">
        <f t="shared" ca="1" si="126"/>
        <v>43.003021143661982</v>
      </c>
      <c r="G268" s="306">
        <f t="shared" ca="1" si="127"/>
        <v>21.803174084988402</v>
      </c>
      <c r="H268" s="307">
        <f t="shared" ca="1" si="128"/>
        <v>197.00189862225</v>
      </c>
      <c r="I268" s="304">
        <f t="shared" ca="1" si="129"/>
        <v>198.20475892609534</v>
      </c>
      <c r="J268" s="306">
        <f t="shared" ca="1" si="130"/>
        <v>30.383824282570799</v>
      </c>
      <c r="K268" s="307">
        <f t="shared" ca="1" si="131"/>
        <v>291.37951569521499</v>
      </c>
      <c r="L268" s="304">
        <f t="shared" ca="1" si="116"/>
        <v>292.95938104933964</v>
      </c>
      <c r="M268" s="306">
        <f t="shared" ca="1" si="132"/>
        <v>1.4605699742856841</v>
      </c>
      <c r="N268" s="304">
        <f t="shared" ca="1" si="133"/>
        <v>83.684495210100877</v>
      </c>
      <c r="P268" s="310">
        <f t="shared" ca="1" si="134"/>
        <v>7</v>
      </c>
      <c r="Q268" s="304">
        <f t="shared" ca="1" si="135"/>
        <v>485.42553191489611</v>
      </c>
      <c r="R268" s="306">
        <f t="shared" ca="1" si="136"/>
        <v>0.24361245765731507</v>
      </c>
      <c r="S268" s="307">
        <f t="shared" ca="1" si="137"/>
        <v>6.9854938608208794</v>
      </c>
      <c r="T268" s="304">
        <f t="shared" ca="1" si="117"/>
        <v>68.527694774652829</v>
      </c>
      <c r="U268" s="311">
        <f t="shared" ca="1" si="118"/>
        <v>0</v>
      </c>
      <c r="V268" s="306">
        <f t="shared" ca="1" si="119"/>
        <v>1.1898185667760492</v>
      </c>
      <c r="W268" s="304">
        <f t="shared" ca="1" si="120"/>
        <v>117.49657742286708</v>
      </c>
      <c r="Y268" s="314" t="str">
        <f t="shared" ca="1" si="138"/>
        <v/>
      </c>
      <c r="Z268" s="315" t="str">
        <f t="shared" ca="1" si="139"/>
        <v/>
      </c>
      <c r="AA268" s="316" t="str">
        <f t="shared" ca="1" si="140"/>
        <v/>
      </c>
      <c r="AC268" s="310" t="e">
        <f t="shared" ca="1" si="141"/>
        <v>#N/A</v>
      </c>
      <c r="AD268" s="323" t="e">
        <f t="shared" ca="1" si="142"/>
        <v>#N/A</v>
      </c>
      <c r="AE268" s="324">
        <f t="shared" ca="1" si="121"/>
        <v>291.37951569521499</v>
      </c>
      <c r="AG268" s="306">
        <f t="shared" ca="1" si="143"/>
        <v>42.989492275265476</v>
      </c>
      <c r="AH268" s="304">
        <f t="shared" ca="1" si="144"/>
        <v>52.740016292100179</v>
      </c>
    </row>
    <row r="269" spans="1:34" x14ac:dyDescent="0.2">
      <c r="A269" s="347">
        <f t="shared" ca="1" si="122"/>
        <v>0.01</v>
      </c>
      <c r="B269" s="304">
        <f t="shared" ca="1" si="123"/>
        <v>2.6499999999999875</v>
      </c>
      <c r="D269" s="306">
        <f t="shared" ca="1" si="124"/>
        <v>5.763756737507979</v>
      </c>
      <c r="E269" s="307">
        <f t="shared" ca="1" si="125"/>
        <v>42.268244023544945</v>
      </c>
      <c r="F269" s="304">
        <f t="shared" ca="1" si="126"/>
        <v>42.659410972997641</v>
      </c>
      <c r="G269" s="306">
        <f t="shared" ca="1" si="127"/>
        <v>21.860811652363481</v>
      </c>
      <c r="H269" s="307">
        <f t="shared" ca="1" si="128"/>
        <v>197.42458106248546</v>
      </c>
      <c r="I269" s="304">
        <f t="shared" ca="1" si="129"/>
        <v>198.6312168159829</v>
      </c>
      <c r="J269" s="306">
        <f t="shared" ca="1" si="130"/>
        <v>30.60214421125756</v>
      </c>
      <c r="K269" s="307">
        <f t="shared" ca="1" si="131"/>
        <v>293.35164809363869</v>
      </c>
      <c r="L269" s="304">
        <f t="shared" ca="1" si="116"/>
        <v>294.9435211520684</v>
      </c>
      <c r="M269" s="306">
        <f t="shared" ca="1" si="132"/>
        <v>1.4605156458563993</v>
      </c>
      <c r="N269" s="304">
        <f t="shared" ca="1" si="133"/>
        <v>83.681382420395281</v>
      </c>
      <c r="P269" s="310">
        <f t="shared" ca="1" si="134"/>
        <v>7</v>
      </c>
      <c r="Q269" s="304">
        <f t="shared" ca="1" si="135"/>
        <v>483.38297872340678</v>
      </c>
      <c r="R269" s="306">
        <f t="shared" ca="1" si="136"/>
        <v>0.24258739537657426</v>
      </c>
      <c r="S269" s="307">
        <f t="shared" ca="1" si="137"/>
        <v>6.9830679868671135</v>
      </c>
      <c r="T269" s="304">
        <f t="shared" ca="1" si="117"/>
        <v>68.503896951166382</v>
      </c>
      <c r="U269" s="311">
        <f t="shared" ca="1" si="118"/>
        <v>0</v>
      </c>
      <c r="V269" s="306">
        <f t="shared" ca="1" si="119"/>
        <v>1.1895838917940926</v>
      </c>
      <c r="W269" s="304">
        <f t="shared" ca="1" si="120"/>
        <v>117.97945888198588</v>
      </c>
      <c r="Y269" s="314" t="str">
        <f t="shared" ca="1" si="138"/>
        <v/>
      </c>
      <c r="Z269" s="315" t="str">
        <f t="shared" ca="1" si="139"/>
        <v/>
      </c>
      <c r="AA269" s="316" t="str">
        <f t="shared" ca="1" si="140"/>
        <v/>
      </c>
      <c r="AC269" s="310" t="e">
        <f t="shared" ca="1" si="141"/>
        <v>#N/A</v>
      </c>
      <c r="AD269" s="323" t="e">
        <f t="shared" ca="1" si="142"/>
        <v>#N/A</v>
      </c>
      <c r="AE269" s="324">
        <f t="shared" ca="1" si="121"/>
        <v>293.35164809363869</v>
      </c>
      <c r="AG269" s="306">
        <f t="shared" ca="1" si="143"/>
        <v>42.645759674973583</v>
      </c>
      <c r="AH269" s="304">
        <f t="shared" ca="1" si="144"/>
        <v>52.396224981434145</v>
      </c>
    </row>
    <row r="270" spans="1:34" x14ac:dyDescent="0.2">
      <c r="A270" s="347">
        <f t="shared" ca="1" si="122"/>
        <v>0.01</v>
      </c>
      <c r="B270" s="304">
        <f t="shared" ca="1" si="123"/>
        <v>2.6599999999999873</v>
      </c>
      <c r="D270" s="306">
        <f t="shared" ca="1" si="124"/>
        <v>5.7287654423706478</v>
      </c>
      <c r="E270" s="307">
        <f t="shared" ca="1" si="125"/>
        <v>41.926373536844068</v>
      </c>
      <c r="F270" s="304">
        <f t="shared" ca="1" si="126"/>
        <v>42.315949137939448</v>
      </c>
      <c r="G270" s="306">
        <f t="shared" ca="1" si="127"/>
        <v>21.918099306787187</v>
      </c>
      <c r="H270" s="307">
        <f t="shared" ca="1" si="128"/>
        <v>197.8438447978539</v>
      </c>
      <c r="I270" s="304">
        <f t="shared" ca="1" si="129"/>
        <v>199.05423884363651</v>
      </c>
      <c r="J270" s="306">
        <f t="shared" ca="1" si="130"/>
        <v>30.821038766053313</v>
      </c>
      <c r="K270" s="307">
        <f t="shared" ca="1" si="131"/>
        <v>295.3279902229404</v>
      </c>
      <c r="L270" s="304">
        <f t="shared" ca="1" si="116"/>
        <v>296.93190842302505</v>
      </c>
      <c r="M270" s="306">
        <f t="shared" ca="1" si="132"/>
        <v>1.4604614062715604</v>
      </c>
      <c r="N270" s="304">
        <f t="shared" ca="1" si="133"/>
        <v>83.678274721101474</v>
      </c>
      <c r="P270" s="310">
        <f t="shared" ca="1" si="134"/>
        <v>7</v>
      </c>
      <c r="Q270" s="304">
        <f t="shared" ca="1" si="135"/>
        <v>481.3404255319175</v>
      </c>
      <c r="R270" s="306">
        <f t="shared" ca="1" si="136"/>
        <v>0.24156233309583347</v>
      </c>
      <c r="S270" s="307">
        <f t="shared" ca="1" si="137"/>
        <v>6.980652363536155</v>
      </c>
      <c r="T270" s="304">
        <f t="shared" ca="1" si="117"/>
        <v>68.48019968628968</v>
      </c>
      <c r="U270" s="311">
        <f t="shared" ca="1" si="118"/>
        <v>0</v>
      </c>
      <c r="V270" s="306">
        <f t="shared" ca="1" si="119"/>
        <v>1.189348761626579</v>
      </c>
      <c r="W270" s="304">
        <f t="shared" ca="1" si="120"/>
        <v>118.45909332095289</v>
      </c>
      <c r="Y270" s="314" t="str">
        <f t="shared" ca="1" si="138"/>
        <v/>
      </c>
      <c r="Z270" s="315" t="str">
        <f t="shared" ca="1" si="139"/>
        <v/>
      </c>
      <c r="AA270" s="316" t="str">
        <f t="shared" ca="1" si="140"/>
        <v/>
      </c>
      <c r="AC270" s="310" t="e">
        <f t="shared" ca="1" si="141"/>
        <v>#N/A</v>
      </c>
      <c r="AD270" s="323" t="e">
        <f t="shared" ca="1" si="142"/>
        <v>#N/A</v>
      </c>
      <c r="AE270" s="324">
        <f t="shared" ca="1" si="121"/>
        <v>295.3279902229404</v>
      </c>
      <c r="AG270" s="306">
        <f t="shared" ca="1" si="143"/>
        <v>42.302173485154022</v>
      </c>
      <c r="AH270" s="304">
        <f t="shared" ca="1" si="144"/>
        <v>52.052580149667506</v>
      </c>
    </row>
    <row r="271" spans="1:34" x14ac:dyDescent="0.2">
      <c r="A271" s="347">
        <f t="shared" ca="1" si="122"/>
        <v>0.01</v>
      </c>
      <c r="B271" s="304">
        <f t="shared" ca="1" si="123"/>
        <v>2.6699999999999871</v>
      </c>
      <c r="D271" s="306">
        <f t="shared" ca="1" si="124"/>
        <v>5.6937491261597328</v>
      </c>
      <c r="E271" s="307">
        <f t="shared" ca="1" si="125"/>
        <v>41.584658025161779</v>
      </c>
      <c r="F271" s="304">
        <f t="shared" ca="1" si="126"/>
        <v>41.97264063865051</v>
      </c>
      <c r="G271" s="306">
        <f t="shared" ca="1" si="127"/>
        <v>21.975036798048784</v>
      </c>
      <c r="H271" s="307">
        <f t="shared" ca="1" si="128"/>
        <v>198.25969137810552</v>
      </c>
      <c r="I271" s="304">
        <f t="shared" ca="1" si="129"/>
        <v>199.47382652272262</v>
      </c>
      <c r="J271" s="306">
        <f t="shared" ca="1" si="130"/>
        <v>31.040504446577494</v>
      </c>
      <c r="K271" s="307">
        <f t="shared" ca="1" si="131"/>
        <v>297.30850790382021</v>
      </c>
      <c r="L271" s="304">
        <f t="shared" ca="1" si="116"/>
        <v>298.92450851058356</v>
      </c>
      <c r="M271" s="306">
        <f t="shared" ca="1" si="132"/>
        <v>1.4604072542656166</v>
      </c>
      <c r="N271" s="304">
        <f t="shared" ca="1" si="133"/>
        <v>83.675172039708727</v>
      </c>
      <c r="P271" s="310">
        <f t="shared" ca="1" si="134"/>
        <v>7</v>
      </c>
      <c r="Q271" s="304">
        <f t="shared" ca="1" si="135"/>
        <v>479.29787234042817</v>
      </c>
      <c r="R271" s="306">
        <f t="shared" ca="1" si="136"/>
        <v>0.24053727081509266</v>
      </c>
      <c r="S271" s="307">
        <f t="shared" ca="1" si="137"/>
        <v>6.978246990828004</v>
      </c>
      <c r="T271" s="304">
        <f t="shared" ca="1" si="117"/>
        <v>68.456602980022723</v>
      </c>
      <c r="U271" s="311">
        <f t="shared" ca="1" si="118"/>
        <v>0</v>
      </c>
      <c r="V271" s="306">
        <f t="shared" ca="1" si="119"/>
        <v>1.1891131806179762</v>
      </c>
      <c r="W271" s="304">
        <f t="shared" ca="1" si="120"/>
        <v>118.93545811542903</v>
      </c>
      <c r="Y271" s="314" t="str">
        <f t="shared" ca="1" si="138"/>
        <v/>
      </c>
      <c r="Z271" s="315" t="str">
        <f t="shared" ca="1" si="139"/>
        <v/>
      </c>
      <c r="AA271" s="316" t="str">
        <f t="shared" ca="1" si="140"/>
        <v/>
      </c>
      <c r="AC271" s="310" t="e">
        <f t="shared" ca="1" si="141"/>
        <v>#N/A</v>
      </c>
      <c r="AD271" s="323" t="e">
        <f t="shared" ca="1" si="142"/>
        <v>#N/A</v>
      </c>
      <c r="AE271" s="324">
        <f t="shared" ca="1" si="121"/>
        <v>297.30850790382021</v>
      </c>
      <c r="AG271" s="306">
        <f t="shared" ca="1" si="143"/>
        <v>41.958738661364826</v>
      </c>
      <c r="AH271" s="304">
        <f t="shared" ca="1" si="144"/>
        <v>51.709086751121134</v>
      </c>
    </row>
    <row r="272" spans="1:34" x14ac:dyDescent="0.2">
      <c r="A272" s="347">
        <f t="shared" ca="1" si="122"/>
        <v>0.01</v>
      </c>
      <c r="B272" s="304">
        <f t="shared" ca="1" si="123"/>
        <v>2.6799999999999868</v>
      </c>
      <c r="D272" s="306">
        <f t="shared" ca="1" si="124"/>
        <v>5.6587085107448098</v>
      </c>
      <c r="E272" s="307">
        <f t="shared" ca="1" si="125"/>
        <v>41.24310235651302</v>
      </c>
      <c r="F272" s="304">
        <f t="shared" ca="1" si="126"/>
        <v>41.629490436460856</v>
      </c>
      <c r="G272" s="306">
        <f t="shared" ca="1" si="127"/>
        <v>22.031623883156232</v>
      </c>
      <c r="H272" s="307">
        <f t="shared" ca="1" si="128"/>
        <v>198.67212240167063</v>
      </c>
      <c r="I272" s="304">
        <f t="shared" ca="1" si="129"/>
        <v>199.88998141606112</v>
      </c>
      <c r="J272" s="306">
        <f t="shared" ca="1" si="130"/>
        <v>31.26053774998352</v>
      </c>
      <c r="K272" s="307">
        <f t="shared" ca="1" si="131"/>
        <v>299.29316697271912</v>
      </c>
      <c r="L272" s="304">
        <f t="shared" ca="1" si="116"/>
        <v>300.92128707849508</v>
      </c>
      <c r="M272" s="306">
        <f t="shared" ca="1" si="132"/>
        <v>1.4603531885853052</v>
      </c>
      <c r="N272" s="304">
        <f t="shared" ca="1" si="133"/>
        <v>83.672074304410373</v>
      </c>
      <c r="P272" s="310">
        <f t="shared" ca="1" si="134"/>
        <v>7</v>
      </c>
      <c r="Q272" s="304">
        <f t="shared" ca="1" si="135"/>
        <v>477.25531914893884</v>
      </c>
      <c r="R272" s="306">
        <f t="shared" ca="1" si="136"/>
        <v>0.23951220853435182</v>
      </c>
      <c r="S272" s="307">
        <f t="shared" ca="1" si="137"/>
        <v>6.9758518687426605</v>
      </c>
      <c r="T272" s="304">
        <f t="shared" ca="1" si="117"/>
        <v>68.433106832365496</v>
      </c>
      <c r="U272" s="311">
        <f t="shared" ca="1" si="118"/>
        <v>0</v>
      </c>
      <c r="V272" s="306">
        <f t="shared" ca="1" si="119"/>
        <v>1.1888771531081586</v>
      </c>
      <c r="W272" s="304">
        <f t="shared" ca="1" si="120"/>
        <v>119.40853095949545</v>
      </c>
      <c r="Y272" s="314" t="str">
        <f t="shared" ca="1" si="138"/>
        <v/>
      </c>
      <c r="Z272" s="315" t="str">
        <f t="shared" ca="1" si="139"/>
        <v/>
      </c>
      <c r="AA272" s="316" t="str">
        <f t="shared" ca="1" si="140"/>
        <v/>
      </c>
      <c r="AC272" s="310" t="e">
        <f t="shared" ca="1" si="141"/>
        <v>#N/A</v>
      </c>
      <c r="AD272" s="323" t="e">
        <f t="shared" ca="1" si="142"/>
        <v>#N/A</v>
      </c>
      <c r="AE272" s="324">
        <f t="shared" ca="1" si="121"/>
        <v>299.29316697271912</v>
      </c>
      <c r="AG272" s="306">
        <f t="shared" ca="1" si="143"/>
        <v>41.615460118951113</v>
      </c>
      <c r="AH272" s="304">
        <f t="shared" ca="1" si="144"/>
        <v>51.365749699913572</v>
      </c>
    </row>
    <row r="273" spans="1:34" x14ac:dyDescent="0.2">
      <c r="A273" s="347">
        <f t="shared" ca="1" si="122"/>
        <v>0.01</v>
      </c>
      <c r="B273" s="304">
        <f t="shared" ca="1" si="123"/>
        <v>2.6899999999999866</v>
      </c>
      <c r="D273" s="306">
        <f t="shared" ca="1" si="124"/>
        <v>5.6236443121786914</v>
      </c>
      <c r="E273" s="307">
        <f t="shared" ca="1" si="125"/>
        <v>40.901711358997922</v>
      </c>
      <c r="F273" s="304">
        <f t="shared" ca="1" si="126"/>
        <v>41.28650345384893</v>
      </c>
      <c r="G273" s="306">
        <f t="shared" ca="1" si="127"/>
        <v>22.087860326278019</v>
      </c>
      <c r="H273" s="307">
        <f t="shared" ca="1" si="128"/>
        <v>199.08113951526062</v>
      </c>
      <c r="I273" s="304">
        <f t="shared" ca="1" si="129"/>
        <v>200.30270513522234</v>
      </c>
      <c r="J273" s="306">
        <f t="shared" ca="1" si="130"/>
        <v>31.48113517103069</v>
      </c>
      <c r="K273" s="307">
        <f t="shared" ca="1" si="131"/>
        <v>301.28193328230378</v>
      </c>
      <c r="L273" s="304">
        <f t="shared" ca="1" si="116"/>
        <v>302.92220980637796</v>
      </c>
      <c r="M273" s="306">
        <f t="shared" ca="1" si="132"/>
        <v>1.4602992079894366</v>
      </c>
      <c r="N273" s="304">
        <f t="shared" ca="1" si="133"/>
        <v>83.6689814440915</v>
      </c>
      <c r="P273" s="310">
        <f t="shared" ca="1" si="134"/>
        <v>7</v>
      </c>
      <c r="Q273" s="304">
        <f t="shared" ca="1" si="135"/>
        <v>475.21276595744951</v>
      </c>
      <c r="R273" s="306">
        <f t="shared" ca="1" si="136"/>
        <v>0.238487146253611</v>
      </c>
      <c r="S273" s="307">
        <f t="shared" ca="1" si="137"/>
        <v>6.9734669972801244</v>
      </c>
      <c r="T273" s="304">
        <f t="shared" ca="1" si="117"/>
        <v>68.409711243318029</v>
      </c>
      <c r="U273" s="311">
        <f t="shared" ca="1" si="118"/>
        <v>0</v>
      </c>
      <c r="V273" s="306">
        <f t="shared" ca="1" si="119"/>
        <v>1.1886406834323342</v>
      </c>
      <c r="W273" s="304">
        <f t="shared" ca="1" si="120"/>
        <v>119.8782898651464</v>
      </c>
      <c r="Y273" s="314" t="str">
        <f t="shared" ca="1" si="138"/>
        <v/>
      </c>
      <c r="Z273" s="315" t="str">
        <f t="shared" ca="1" si="139"/>
        <v/>
      </c>
      <c r="AA273" s="316" t="str">
        <f t="shared" ca="1" si="140"/>
        <v/>
      </c>
      <c r="AC273" s="310" t="e">
        <f t="shared" ca="1" si="141"/>
        <v>#N/A</v>
      </c>
      <c r="AD273" s="323" t="e">
        <f t="shared" ca="1" si="142"/>
        <v>#N/A</v>
      </c>
      <c r="AE273" s="324">
        <f t="shared" ca="1" si="121"/>
        <v>301.28193328230378</v>
      </c>
      <c r="AG273" s="306">
        <f t="shared" ca="1" si="143"/>
        <v>41.27234273297266</v>
      </c>
      <c r="AH273" s="304">
        <f t="shared" ca="1" si="144"/>
        <v>51.022573869888404</v>
      </c>
    </row>
    <row r="274" spans="1:34" x14ac:dyDescent="0.2">
      <c r="A274" s="347">
        <f t="shared" ca="1" si="122"/>
        <v>0.01</v>
      </c>
      <c r="B274" s="304">
        <f t="shared" ca="1" si="123"/>
        <v>2.6999999999999864</v>
      </c>
      <c r="D274" s="306">
        <f t="shared" ca="1" si="124"/>
        <v>5.5885572407087292</v>
      </c>
      <c r="E274" s="307">
        <f t="shared" ca="1" si="125"/>
        <v>40.560489820732769</v>
      </c>
      <c r="F274" s="304">
        <f t="shared" ca="1" si="126"/>
        <v>40.943684574430335</v>
      </c>
      <c r="G274" s="306">
        <f t="shared" ca="1" si="127"/>
        <v>22.143745898685108</v>
      </c>
      <c r="H274" s="307">
        <f t="shared" ca="1" si="128"/>
        <v>199.48674441346793</v>
      </c>
      <c r="I274" s="304">
        <f t="shared" ca="1" si="129"/>
        <v>200.7119993401237</v>
      </c>
      <c r="J274" s="306">
        <f t="shared" ca="1" si="130"/>
        <v>31.702293202155506</v>
      </c>
      <c r="K274" s="307">
        <f t="shared" ca="1" si="131"/>
        <v>303.27477270194743</v>
      </c>
      <c r="L274" s="304">
        <f t="shared" ca="1" si="116"/>
        <v>304.92724239020248</v>
      </c>
      <c r="M274" s="306">
        <f t="shared" ca="1" si="132"/>
        <v>1.460245311248684</v>
      </c>
      <c r="N274" s="304">
        <f t="shared" ca="1" si="133"/>
        <v>83.66589338831686</v>
      </c>
      <c r="P274" s="310">
        <f t="shared" ca="1" si="134"/>
        <v>7</v>
      </c>
      <c r="Q274" s="304">
        <f t="shared" ca="1" si="135"/>
        <v>473.17021276596023</v>
      </c>
      <c r="R274" s="306">
        <f t="shared" ca="1" si="136"/>
        <v>0.23746208397287022</v>
      </c>
      <c r="S274" s="307">
        <f t="shared" ca="1" si="137"/>
        <v>6.9710923764403958</v>
      </c>
      <c r="T274" s="304">
        <f t="shared" ca="1" si="117"/>
        <v>68.386416212880292</v>
      </c>
      <c r="U274" s="311">
        <f t="shared" ca="1" si="118"/>
        <v>0</v>
      </c>
      <c r="V274" s="306">
        <f t="shared" ca="1" si="119"/>
        <v>1.1884037759209771</v>
      </c>
      <c r="W274" s="304">
        <f t="shared" ca="1" si="120"/>
        <v>120.34471316175832</v>
      </c>
      <c r="Y274" s="314" t="str">
        <f t="shared" ca="1" si="138"/>
        <v/>
      </c>
      <c r="Z274" s="315" t="str">
        <f t="shared" ca="1" si="139"/>
        <v/>
      </c>
      <c r="AA274" s="316" t="str">
        <f t="shared" ca="1" si="140"/>
        <v/>
      </c>
      <c r="AC274" s="310" t="e">
        <f t="shared" ca="1" si="141"/>
        <v>#N/A</v>
      </c>
      <c r="AD274" s="323" t="e">
        <f t="shared" ca="1" si="142"/>
        <v>#N/A</v>
      </c>
      <c r="AE274" s="324">
        <f t="shared" ca="1" si="121"/>
        <v>303.27477270194743</v>
      </c>
      <c r="AG274" s="306">
        <f t="shared" ca="1" si="143"/>
        <v>40.929391338136071</v>
      </c>
      <c r="AH274" s="304">
        <f t="shared" ca="1" si="144"/>
        <v>50.679564094546251</v>
      </c>
    </row>
    <row r="275" spans="1:34" x14ac:dyDescent="0.2">
      <c r="A275" s="347">
        <f t="shared" ca="1" si="122"/>
        <v>0.01</v>
      </c>
      <c r="B275" s="304">
        <f t="shared" ca="1" si="123"/>
        <v>2.7099999999999862</v>
      </c>
      <c r="D275" s="306">
        <f t="shared" ca="1" si="124"/>
        <v>5.5534480007879825</v>
      </c>
      <c r="E275" s="307">
        <f t="shared" ca="1" si="125"/>
        <v>40.219442489784903</v>
      </c>
      <c r="F275" s="304">
        <f t="shared" ca="1" si="126"/>
        <v>40.601038642953107</v>
      </c>
      <c r="G275" s="306">
        <f t="shared" ca="1" si="127"/>
        <v>22.199280378692986</v>
      </c>
      <c r="H275" s="307">
        <f t="shared" ca="1" si="128"/>
        <v>199.88893883836579</v>
      </c>
      <c r="I275" s="304">
        <f t="shared" ca="1" si="129"/>
        <v>201.11786573862543</v>
      </c>
      <c r="J275" s="306">
        <f t="shared" ca="1" si="130"/>
        <v>31.924008333542396</v>
      </c>
      <c r="K275" s="307">
        <f t="shared" ca="1" si="131"/>
        <v>305.27165111820659</v>
      </c>
      <c r="L275" s="304">
        <f t="shared" ca="1" si="116"/>
        <v>306.9363505427732</v>
      </c>
      <c r="M275" s="306">
        <f t="shared" ca="1" si="132"/>
        <v>1.4601914971453758</v>
      </c>
      <c r="N275" s="304">
        <f t="shared" ca="1" si="133"/>
        <v>83.662810067319029</v>
      </c>
      <c r="P275" s="310">
        <f t="shared" ca="1" si="134"/>
        <v>7</v>
      </c>
      <c r="Q275" s="304">
        <f t="shared" ca="1" si="135"/>
        <v>471.1276595744709</v>
      </c>
      <c r="R275" s="306">
        <f t="shared" ca="1" si="136"/>
        <v>0.23643702169212941</v>
      </c>
      <c r="S275" s="307">
        <f t="shared" ca="1" si="137"/>
        <v>6.9687280062234747</v>
      </c>
      <c r="T275" s="304">
        <f t="shared" ca="1" si="117"/>
        <v>68.363221741052286</v>
      </c>
      <c r="U275" s="311">
        <f t="shared" ca="1" si="118"/>
        <v>0</v>
      </c>
      <c r="V275" s="306">
        <f t="shared" ca="1" si="119"/>
        <v>1.1881664348997556</v>
      </c>
      <c r="W275" s="304">
        <f t="shared" ca="1" si="120"/>
        <v>120.80777949553358</v>
      </c>
      <c r="Y275" s="314" t="str">
        <f t="shared" ca="1" si="138"/>
        <v/>
      </c>
      <c r="Z275" s="315" t="str">
        <f t="shared" ca="1" si="139"/>
        <v/>
      </c>
      <c r="AA275" s="316" t="str">
        <f t="shared" ca="1" si="140"/>
        <v/>
      </c>
      <c r="AC275" s="310" t="e">
        <f t="shared" ca="1" si="141"/>
        <v>#N/A</v>
      </c>
      <c r="AD275" s="323" t="e">
        <f t="shared" ca="1" si="142"/>
        <v>#N/A</v>
      </c>
      <c r="AE275" s="324">
        <f t="shared" ca="1" si="121"/>
        <v>305.27165111820659</v>
      </c>
      <c r="AG275" s="306">
        <f t="shared" ca="1" si="143"/>
        <v>40.586610728730946</v>
      </c>
      <c r="AH275" s="304">
        <f t="shared" ca="1" si="144"/>
        <v>50.336725166980727</v>
      </c>
    </row>
    <row r="276" spans="1:34" x14ac:dyDescent="0.2">
      <c r="A276" s="347">
        <f t="shared" ca="1" si="122"/>
        <v>0.01</v>
      </c>
      <c r="B276" s="304">
        <f t="shared" ca="1" si="123"/>
        <v>2.719999999999986</v>
      </c>
      <c r="D276" s="306">
        <f t="shared" ca="1" si="124"/>
        <v>5.5183172910864293</v>
      </c>
      <c r="E276" s="307">
        <f t="shared" ca="1" si="125"/>
        <v>39.878574074112201</v>
      </c>
      <c r="F276" s="304">
        <f t="shared" ca="1" si="126"/>
        <v>40.258570465300394</v>
      </c>
      <c r="G276" s="306">
        <f t="shared" ca="1" si="127"/>
        <v>22.254463551603852</v>
      </c>
      <c r="H276" s="307">
        <f t="shared" ca="1" si="128"/>
        <v>200.28772457910691</v>
      </c>
      <c r="I276" s="304">
        <f t="shared" ca="1" si="129"/>
        <v>201.52030608612583</v>
      </c>
      <c r="J276" s="306">
        <f t="shared" ca="1" si="130"/>
        <v>32.146277053193877</v>
      </c>
      <c r="K276" s="307">
        <f t="shared" ca="1" si="131"/>
        <v>307.27253443529395</v>
      </c>
      <c r="L276" s="304">
        <f t="shared" ca="1" si="116"/>
        <v>308.9494999942055</v>
      </c>
      <c r="M276" s="306">
        <f t="shared" ca="1" si="132"/>
        <v>1.4601377644732929</v>
      </c>
      <c r="N276" s="304">
        <f t="shared" ca="1" si="133"/>
        <v>83.659731411986712</v>
      </c>
      <c r="P276" s="310">
        <f t="shared" ca="1" si="134"/>
        <v>7</v>
      </c>
      <c r="Q276" s="304">
        <f t="shared" ca="1" si="135"/>
        <v>469.08510638298156</v>
      </c>
      <c r="R276" s="306">
        <f t="shared" ca="1" si="136"/>
        <v>0.23541195941138857</v>
      </c>
      <c r="S276" s="307">
        <f t="shared" ca="1" si="137"/>
        <v>6.966373886629361</v>
      </c>
      <c r="T276" s="304">
        <f t="shared" ca="1" si="117"/>
        <v>68.340127827834038</v>
      </c>
      <c r="U276" s="311">
        <f t="shared" ca="1" si="118"/>
        <v>0</v>
      </c>
      <c r="V276" s="306">
        <f t="shared" ca="1" si="119"/>
        <v>1.1879286646894649</v>
      </c>
      <c r="W276" s="304">
        <f t="shared" ca="1" si="120"/>
        <v>121.26746782892072</v>
      </c>
      <c r="Y276" s="314" t="str">
        <f t="shared" ca="1" si="138"/>
        <v/>
      </c>
      <c r="Z276" s="315" t="str">
        <f t="shared" ca="1" si="139"/>
        <v/>
      </c>
      <c r="AA276" s="316" t="str">
        <f t="shared" ca="1" si="140"/>
        <v/>
      </c>
      <c r="AC276" s="310" t="e">
        <f t="shared" ca="1" si="141"/>
        <v>#N/A</v>
      </c>
      <c r="AD276" s="323" t="e">
        <f t="shared" ca="1" si="142"/>
        <v>#N/A</v>
      </c>
      <c r="AE276" s="324">
        <f t="shared" ca="1" si="121"/>
        <v>307.27253443529395</v>
      </c>
      <c r="AG276" s="306">
        <f t="shared" ca="1" si="143"/>
        <v>40.244005658570536</v>
      </c>
      <c r="AH276" s="304">
        <f t="shared" ca="1" si="144"/>
        <v>49.994061839818926</v>
      </c>
    </row>
    <row r="277" spans="1:34" x14ac:dyDescent="0.2">
      <c r="A277" s="347">
        <f t="shared" ca="1" si="122"/>
        <v>0.01</v>
      </c>
      <c r="B277" s="304">
        <f t="shared" ca="1" si="123"/>
        <v>2.7299999999999858</v>
      </c>
      <c r="D277" s="306">
        <f t="shared" ca="1" si="124"/>
        <v>5.4831658045021108</v>
      </c>
      <c r="E277" s="307">
        <f t="shared" ca="1" si="125"/>
        <v>39.537889241506761</v>
      </c>
      <c r="F277" s="304">
        <f t="shared" ca="1" si="126"/>
        <v>39.916284808500372</v>
      </c>
      <c r="G277" s="306">
        <f t="shared" ca="1" si="127"/>
        <v>22.309295209648873</v>
      </c>
      <c r="H277" s="307">
        <f t="shared" ca="1" si="128"/>
        <v>200.68310347152197</v>
      </c>
      <c r="I277" s="304">
        <f t="shared" ca="1" si="129"/>
        <v>201.91932218515606</v>
      </c>
      <c r="J277" s="306">
        <f t="shared" ca="1" si="130"/>
        <v>32.369095847000139</v>
      </c>
      <c r="K277" s="307">
        <f t="shared" ca="1" si="131"/>
        <v>309.27738857554709</v>
      </c>
      <c r="L277" s="304">
        <f t="shared" ca="1" si="116"/>
        <v>310.96665649239986</v>
      </c>
      <c r="M277" s="306">
        <f t="shared" ca="1" si="132"/>
        <v>1.4600841120374697</v>
      </c>
      <c r="N277" s="304">
        <f t="shared" ca="1" si="133"/>
        <v>83.656657353853447</v>
      </c>
      <c r="P277" s="310">
        <f t="shared" ca="1" si="134"/>
        <v>7</v>
      </c>
      <c r="Q277" s="304">
        <f t="shared" ca="1" si="135"/>
        <v>467.04255319149229</v>
      </c>
      <c r="R277" s="306">
        <f t="shared" ca="1" si="136"/>
        <v>0.23438689713064778</v>
      </c>
      <c r="S277" s="307">
        <f t="shared" ca="1" si="137"/>
        <v>6.9640300176580547</v>
      </c>
      <c r="T277" s="304">
        <f t="shared" ca="1" si="117"/>
        <v>68.317134473225522</v>
      </c>
      <c r="U277" s="311">
        <f t="shared" ca="1" si="118"/>
        <v>0</v>
      </c>
      <c r="V277" s="306">
        <f t="shared" ca="1" si="119"/>
        <v>1.1876904696059578</v>
      </c>
      <c r="W277" s="304">
        <f t="shared" ca="1" si="120"/>
        <v>121.72375744001064</v>
      </c>
      <c r="Y277" s="314" t="str">
        <f t="shared" ca="1" si="138"/>
        <v/>
      </c>
      <c r="Z277" s="315" t="str">
        <f t="shared" ca="1" si="139"/>
        <v/>
      </c>
      <c r="AA277" s="316" t="str">
        <f t="shared" ca="1" si="140"/>
        <v/>
      </c>
      <c r="AC277" s="310" t="e">
        <f t="shared" ca="1" si="141"/>
        <v>#N/A</v>
      </c>
      <c r="AD277" s="323" t="e">
        <f t="shared" ca="1" si="142"/>
        <v>#N/A</v>
      </c>
      <c r="AE277" s="324">
        <f t="shared" ca="1" si="121"/>
        <v>309.27738857554709</v>
      </c>
      <c r="AG277" s="306">
        <f t="shared" ca="1" si="143"/>
        <v>39.901580840936575</v>
      </c>
      <c r="AH277" s="304">
        <f t="shared" ca="1" si="144"/>
        <v>49.651578825166077</v>
      </c>
    </row>
    <row r="278" spans="1:34" x14ac:dyDescent="0.2">
      <c r="A278" s="347">
        <f t="shared" ca="1" si="122"/>
        <v>0.01</v>
      </c>
      <c r="B278" s="304">
        <f t="shared" ca="1" si="123"/>
        <v>2.7399999999999856</v>
      </c>
      <c r="D278" s="306">
        <f t="shared" ca="1" si="124"/>
        <v>5.4479942281722336</v>
      </c>
      <c r="E278" s="307">
        <f t="shared" ca="1" si="125"/>
        <v>39.197392619542619</v>
      </c>
      <c r="F278" s="304">
        <f t="shared" ca="1" si="126"/>
        <v>39.574186400743251</v>
      </c>
      <c r="G278" s="306">
        <f t="shared" ca="1" si="127"/>
        <v>22.363775151930597</v>
      </c>
      <c r="H278" s="307">
        <f t="shared" ca="1" si="128"/>
        <v>201.07507739771739</v>
      </c>
      <c r="I278" s="304">
        <f t="shared" ca="1" si="129"/>
        <v>202.31491588497411</v>
      </c>
      <c r="J278" s="306">
        <f t="shared" ca="1" si="130"/>
        <v>32.592461198808039</v>
      </c>
      <c r="K278" s="307">
        <f t="shared" ca="1" si="131"/>
        <v>311.28617947989329</v>
      </c>
      <c r="L278" s="304">
        <f t="shared" ca="1" si="116"/>
        <v>312.98778580351046</v>
      </c>
      <c r="M278" s="306">
        <f t="shared" ca="1" si="132"/>
        <v>1.4600305386539976</v>
      </c>
      <c r="N278" s="304">
        <f t="shared" ca="1" si="133"/>
        <v>83.653587825086262</v>
      </c>
      <c r="P278" s="310">
        <f t="shared" ca="1" si="134"/>
        <v>7</v>
      </c>
      <c r="Q278" s="304">
        <f t="shared" ca="1" si="135"/>
        <v>465.00000000000296</v>
      </c>
      <c r="R278" s="306">
        <f t="shared" ca="1" si="136"/>
        <v>0.23336183484990697</v>
      </c>
      <c r="S278" s="307">
        <f t="shared" ca="1" si="137"/>
        <v>6.961696399309556</v>
      </c>
      <c r="T278" s="304">
        <f t="shared" ca="1" si="117"/>
        <v>68.294241677226751</v>
      </c>
      <c r="U278" s="311">
        <f t="shared" ca="1" si="118"/>
        <v>0</v>
      </c>
      <c r="V278" s="306">
        <f t="shared" ca="1" si="119"/>
        <v>1.1874518539600794</v>
      </c>
      <c r="W278" s="304">
        <f t="shared" ca="1" si="120"/>
        <v>122.17662792190917</v>
      </c>
      <c r="Y278" s="314" t="str">
        <f t="shared" ca="1" si="138"/>
        <v/>
      </c>
      <c r="Z278" s="315" t="str">
        <f t="shared" ca="1" si="139"/>
        <v/>
      </c>
      <c r="AA278" s="316" t="str">
        <f t="shared" ca="1" si="140"/>
        <v/>
      </c>
      <c r="AC278" s="310" t="e">
        <f t="shared" ca="1" si="141"/>
        <v>#N/A</v>
      </c>
      <c r="AD278" s="323" t="e">
        <f t="shared" ca="1" si="142"/>
        <v>#N/A</v>
      </c>
      <c r="AE278" s="324">
        <f t="shared" ca="1" si="121"/>
        <v>311.28617947989329</v>
      </c>
      <c r="AG278" s="306">
        <f t="shared" ca="1" si="143"/>
        <v>39.559340948528188</v>
      </c>
      <c r="AH278" s="304">
        <f t="shared" ca="1" si="144"/>
        <v>49.309280794554269</v>
      </c>
    </row>
    <row r="279" spans="1:34" x14ac:dyDescent="0.2">
      <c r="A279" s="347">
        <f t="shared" ca="1" si="122"/>
        <v>0.01</v>
      </c>
      <c r="B279" s="304">
        <f t="shared" ca="1" si="123"/>
        <v>2.7499999999999853</v>
      </c>
      <c r="D279" s="306">
        <f t="shared" ca="1" si="124"/>
        <v>5.4128032434843298</v>
      </c>
      <c r="E279" s="307">
        <f t="shared" ca="1" si="125"/>
        <v>38.857088795527957</v>
      </c>
      <c r="F279" s="304">
        <f t="shared" ca="1" si="126"/>
        <v>39.232279931406218</v>
      </c>
      <c r="G279" s="306">
        <f t="shared" ca="1" si="127"/>
        <v>22.417903184365439</v>
      </c>
      <c r="H279" s="307">
        <f t="shared" ca="1" si="128"/>
        <v>201.46364828567266</v>
      </c>
      <c r="I279" s="304">
        <f t="shared" ca="1" si="129"/>
        <v>202.70708908115867</v>
      </c>
      <c r="J279" s="306">
        <f t="shared" ca="1" si="130"/>
        <v>32.816369590489522</v>
      </c>
      <c r="K279" s="307">
        <f t="shared" ca="1" si="131"/>
        <v>313.29887310831026</v>
      </c>
      <c r="L279" s="304">
        <f t="shared" ca="1" si="116"/>
        <v>315.01285371241073</v>
      </c>
      <c r="M279" s="306">
        <f t="shared" ca="1" si="132"/>
        <v>1.459977043149834</v>
      </c>
      <c r="N279" s="304">
        <f t="shared" ca="1" si="133"/>
        <v>83.650522758474764</v>
      </c>
      <c r="P279" s="310">
        <f t="shared" ca="1" si="134"/>
        <v>7</v>
      </c>
      <c r="Q279" s="304">
        <f t="shared" ca="1" si="135"/>
        <v>462.95744680851362</v>
      </c>
      <c r="R279" s="306">
        <f t="shared" ca="1" si="136"/>
        <v>0.23233677256916616</v>
      </c>
      <c r="S279" s="307">
        <f t="shared" ca="1" si="137"/>
        <v>6.9593730315838647</v>
      </c>
      <c r="T279" s="304">
        <f t="shared" ca="1" si="117"/>
        <v>68.27144943983771</v>
      </c>
      <c r="U279" s="311">
        <f t="shared" ca="1" si="118"/>
        <v>0</v>
      </c>
      <c r="V279" s="306">
        <f t="shared" ca="1" si="119"/>
        <v>1.187212822057597</v>
      </c>
      <c r="W279" s="304">
        <f t="shared" ca="1" si="120"/>
        <v>122.62605918208646</v>
      </c>
      <c r="Y279" s="314" t="str">
        <f t="shared" ca="1" si="138"/>
        <v/>
      </c>
      <c r="Z279" s="315" t="str">
        <f t="shared" ca="1" si="139"/>
        <v/>
      </c>
      <c r="AA279" s="316" t="str">
        <f t="shared" ca="1" si="140"/>
        <v/>
      </c>
      <c r="AC279" s="310" t="e">
        <f t="shared" ca="1" si="141"/>
        <v>#N/A</v>
      </c>
      <c r="AD279" s="323" t="e">
        <f t="shared" ca="1" si="142"/>
        <v>#N/A</v>
      </c>
      <c r="AE279" s="324">
        <f t="shared" ca="1" si="121"/>
        <v>313.29887310831026</v>
      </c>
      <c r="AG279" s="306">
        <f t="shared" ca="1" si="143"/>
        <v>39.217290613415223</v>
      </c>
      <c r="AH279" s="304">
        <f t="shared" ca="1" si="144"/>
        <v>48.967172378895611</v>
      </c>
    </row>
    <row r="280" spans="1:34" x14ac:dyDescent="0.2">
      <c r="A280" s="347">
        <f t="shared" ca="1" si="122"/>
        <v>0.01</v>
      </c>
      <c r="B280" s="304">
        <f t="shared" ca="1" si="123"/>
        <v>2.7599999999999851</v>
      </c>
      <c r="D280" s="306">
        <f t="shared" ca="1" si="124"/>
        <v>5.3775935260873284</v>
      </c>
      <c r="E280" s="307">
        <f t="shared" ca="1" si="125"/>
        <v>38.516982316461217</v>
      </c>
      <c r="F280" s="304">
        <f t="shared" ca="1" si="126"/>
        <v>38.890570051085682</v>
      </c>
      <c r="G280" s="306">
        <f t="shared" ca="1" si="127"/>
        <v>22.471679119626312</v>
      </c>
      <c r="H280" s="307">
        <f t="shared" ca="1" si="128"/>
        <v>201.84881810883726</v>
      </c>
      <c r="I280" s="304">
        <f t="shared" ca="1" si="129"/>
        <v>203.09584371520239</v>
      </c>
      <c r="J280" s="306">
        <f t="shared" ca="1" si="130"/>
        <v>33.040817502009482</v>
      </c>
      <c r="K280" s="307">
        <f t="shared" ca="1" si="131"/>
        <v>315.31543544028278</v>
      </c>
      <c r="L280" s="304">
        <f t="shared" ca="1" si="116"/>
        <v>317.04182602315461</v>
      </c>
      <c r="M280" s="306">
        <f t="shared" ca="1" si="132"/>
        <v>1.4599236243626135</v>
      </c>
      <c r="N280" s="304">
        <f t="shared" ca="1" si="133"/>
        <v>83.647462087420323</v>
      </c>
      <c r="P280" s="310">
        <f t="shared" ca="1" si="134"/>
        <v>7</v>
      </c>
      <c r="Q280" s="304">
        <f t="shared" ca="1" si="135"/>
        <v>460.91489361702429</v>
      </c>
      <c r="R280" s="306">
        <f t="shared" ca="1" si="136"/>
        <v>0.23131171028842534</v>
      </c>
      <c r="S280" s="307">
        <f t="shared" ca="1" si="137"/>
        <v>6.9570599144809808</v>
      </c>
      <c r="T280" s="304">
        <f t="shared" ca="1" si="117"/>
        <v>68.248757761058428</v>
      </c>
      <c r="U280" s="311">
        <f t="shared" ca="1" si="118"/>
        <v>0</v>
      </c>
      <c r="V280" s="306">
        <f t="shared" ca="1" si="119"/>
        <v>1.1869733781991385</v>
      </c>
      <c r="W280" s="304">
        <f t="shared" ca="1" si="120"/>
        <v>123.07203144170398</v>
      </c>
      <c r="Y280" s="314" t="str">
        <f t="shared" ca="1" si="138"/>
        <v/>
      </c>
      <c r="Z280" s="315" t="str">
        <f t="shared" ca="1" si="139"/>
        <v/>
      </c>
      <c r="AA280" s="316" t="str">
        <f t="shared" ca="1" si="140"/>
        <v/>
      </c>
      <c r="AC280" s="310" t="e">
        <f t="shared" ca="1" si="141"/>
        <v>#N/A</v>
      </c>
      <c r="AD280" s="323" t="e">
        <f t="shared" ca="1" si="142"/>
        <v>#N/A</v>
      </c>
      <c r="AE280" s="324">
        <f t="shared" ca="1" si="121"/>
        <v>315.31543544028278</v>
      </c>
      <c r="AG280" s="306">
        <f t="shared" ca="1" si="143"/>
        <v>38.875434426995461</v>
      </c>
      <c r="AH280" s="304">
        <f t="shared" ca="1" si="144"/>
        <v>48.625258168439288</v>
      </c>
    </row>
    <row r="281" spans="1:34" x14ac:dyDescent="0.2">
      <c r="A281" s="347">
        <f t="shared" ca="1" si="122"/>
        <v>0.01</v>
      </c>
      <c r="B281" s="304">
        <f t="shared" ca="1" si="123"/>
        <v>2.7699999999999849</v>
      </c>
      <c r="D281" s="306">
        <f t="shared" ca="1" si="124"/>
        <v>5.3423657459026836</v>
      </c>
      <c r="E281" s="307">
        <f t="shared" ca="1" si="125"/>
        <v>38.17707768899141</v>
      </c>
      <c r="F281" s="304">
        <f t="shared" ca="1" si="126"/>
        <v>38.549061371637571</v>
      </c>
      <c r="G281" s="306">
        <f t="shared" ca="1" si="127"/>
        <v>22.52510277708534</v>
      </c>
      <c r="H281" s="307">
        <f t="shared" ca="1" si="128"/>
        <v>202.23058888572717</v>
      </c>
      <c r="I281" s="304">
        <f t="shared" ca="1" si="129"/>
        <v>203.48118177410473</v>
      </c>
      <c r="J281" s="306">
        <f t="shared" ca="1" si="130"/>
        <v>33.265801411493037</v>
      </c>
      <c r="K281" s="307">
        <f t="shared" ca="1" si="131"/>
        <v>317.33583247525559</v>
      </c>
      <c r="L281" s="304">
        <f t="shared" ca="1" si="116"/>
        <v>319.07466855943358</v>
      </c>
      <c r="M281" s="306">
        <f t="shared" ca="1" si="132"/>
        <v>1.4598702811404625</v>
      </c>
      <c r="N281" s="304">
        <f t="shared" ca="1" si="133"/>
        <v>83.64440574592544</v>
      </c>
      <c r="P281" s="310">
        <f t="shared" ca="1" si="134"/>
        <v>7</v>
      </c>
      <c r="Q281" s="304">
        <f t="shared" ca="1" si="135"/>
        <v>458.87234042553501</v>
      </c>
      <c r="R281" s="306">
        <f t="shared" ca="1" si="136"/>
        <v>0.23028664800768453</v>
      </c>
      <c r="S281" s="307">
        <f t="shared" ca="1" si="137"/>
        <v>6.9547570480009036</v>
      </c>
      <c r="T281" s="304">
        <f t="shared" ca="1" si="117"/>
        <v>68.226166640888863</v>
      </c>
      <c r="U281" s="311">
        <f t="shared" ca="1" si="118"/>
        <v>0</v>
      </c>
      <c r="V281" s="306">
        <f t="shared" ca="1" si="119"/>
        <v>1.186733526680124</v>
      </c>
      <c r="W281" s="304">
        <f t="shared" ca="1" si="120"/>
        <v>123.51452523491812</v>
      </c>
      <c r="Y281" s="314" t="str">
        <f t="shared" ca="1" si="138"/>
        <v/>
      </c>
      <c r="Z281" s="315" t="str">
        <f t="shared" ca="1" si="139"/>
        <v/>
      </c>
      <c r="AA281" s="316" t="str">
        <f t="shared" ca="1" si="140"/>
        <v/>
      </c>
      <c r="AC281" s="310" t="e">
        <f t="shared" ca="1" si="141"/>
        <v>#N/A</v>
      </c>
      <c r="AD281" s="323" t="e">
        <f t="shared" ca="1" si="142"/>
        <v>#N/A</v>
      </c>
      <c r="AE281" s="324">
        <f t="shared" ca="1" si="121"/>
        <v>317.33583247525559</v>
      </c>
      <c r="AG281" s="306">
        <f t="shared" ca="1" si="143"/>
        <v>38.533776939956056</v>
      </c>
      <c r="AH281" s="304">
        <f t="shared" ca="1" si="144"/>
        <v>48.283542712732789</v>
      </c>
    </row>
    <row r="282" spans="1:34" x14ac:dyDescent="0.2">
      <c r="A282" s="347">
        <f t="shared" ca="1" si="122"/>
        <v>0.01</v>
      </c>
      <c r="B282" s="304">
        <f t="shared" ca="1" si="123"/>
        <v>2.7799999999999847</v>
      </c>
      <c r="D282" s="306">
        <f t="shared" ca="1" si="124"/>
        <v>5.3071205671355131</v>
      </c>
      <c r="E282" s="307">
        <f t="shared" ca="1" si="125"/>
        <v>37.837379379382533</v>
      </c>
      <c r="F282" s="304">
        <f t="shared" ca="1" si="126"/>
        <v>38.20775846622562</v>
      </c>
      <c r="G282" s="306">
        <f t="shared" ca="1" si="127"/>
        <v>22.578173982756695</v>
      </c>
      <c r="H282" s="307">
        <f t="shared" ca="1" si="128"/>
        <v>202.608962679521</v>
      </c>
      <c r="I282" s="304">
        <f t="shared" ca="1" si="129"/>
        <v>203.86310528996452</v>
      </c>
      <c r="J282" s="306">
        <f t="shared" ca="1" si="130"/>
        <v>33.491317795292247</v>
      </c>
      <c r="K282" s="307">
        <f t="shared" ca="1" si="131"/>
        <v>319.36003023308183</v>
      </c>
      <c r="L282" s="304">
        <f t="shared" ca="1" si="116"/>
        <v>321.11134716502966</v>
      </c>
      <c r="M282" s="306">
        <f t="shared" ca="1" si="132"/>
        <v>1.4598170123418184</v>
      </c>
      <c r="N282" s="304">
        <f t="shared" ca="1" si="133"/>
        <v>83.641353668583406</v>
      </c>
      <c r="P282" s="310">
        <f t="shared" ca="1" si="134"/>
        <v>7</v>
      </c>
      <c r="Q282" s="304">
        <f t="shared" ca="1" si="135"/>
        <v>456.82978723404568</v>
      </c>
      <c r="R282" s="306">
        <f t="shared" ca="1" si="136"/>
        <v>0.22926158572694372</v>
      </c>
      <c r="S282" s="307">
        <f t="shared" ca="1" si="137"/>
        <v>6.9524644321436337</v>
      </c>
      <c r="T282" s="304">
        <f t="shared" ca="1" si="117"/>
        <v>68.203676079329057</v>
      </c>
      <c r="U282" s="311">
        <f t="shared" ca="1" si="118"/>
        <v>0</v>
      </c>
      <c r="V282" s="306">
        <f t="shared" ca="1" si="119"/>
        <v>1.1864932717907024</v>
      </c>
      <c r="W282" s="304">
        <f t="shared" ca="1" si="120"/>
        <v>123.95352140816206</v>
      </c>
      <c r="Y282" s="314" t="str">
        <f t="shared" ca="1" si="138"/>
        <v/>
      </c>
      <c r="Z282" s="315" t="str">
        <f t="shared" ca="1" si="139"/>
        <v/>
      </c>
      <c r="AA282" s="316" t="str">
        <f t="shared" ca="1" si="140"/>
        <v/>
      </c>
      <c r="AC282" s="310" t="e">
        <f t="shared" ca="1" si="141"/>
        <v>#N/A</v>
      </c>
      <c r="AD282" s="323" t="e">
        <f t="shared" ca="1" si="142"/>
        <v>#N/A</v>
      </c>
      <c r="AE282" s="324">
        <f t="shared" ca="1" si="121"/>
        <v>319.36003023308183</v>
      </c>
      <c r="AG282" s="306">
        <f t="shared" ca="1" si="143"/>
        <v>38.192322662238986</v>
      </c>
      <c r="AH282" s="304">
        <f t="shared" ca="1" si="144"/>
        <v>47.942030520587267</v>
      </c>
    </row>
    <row r="283" spans="1:34" x14ac:dyDescent="0.2">
      <c r="A283" s="347">
        <f t="shared" ca="1" si="122"/>
        <v>0.01</v>
      </c>
      <c r="B283" s="304">
        <f t="shared" ca="1" si="123"/>
        <v>2.7899999999999845</v>
      </c>
      <c r="D283" s="306">
        <f t="shared" ca="1" si="124"/>
        <v>5.2718586482857139</v>
      </c>
      <c r="E283" s="307">
        <f t="shared" ca="1" si="125"/>
        <v>37.497891813482092</v>
      </c>
      <c r="F283" s="304">
        <f t="shared" ca="1" si="126"/>
        <v>37.86666586937794</v>
      </c>
      <c r="G283" s="306">
        <f t="shared" ca="1" si="127"/>
        <v>22.630892569239553</v>
      </c>
      <c r="H283" s="307">
        <f t="shared" ca="1" si="128"/>
        <v>202.98394159765581</v>
      </c>
      <c r="I283" s="304">
        <f t="shared" ca="1" si="129"/>
        <v>204.2416163395722</v>
      </c>
      <c r="J283" s="306">
        <f t="shared" ca="1" si="130"/>
        <v>33.717363128052227</v>
      </c>
      <c r="K283" s="307">
        <f t="shared" ca="1" si="131"/>
        <v>321.38799475446774</v>
      </c>
      <c r="L283" s="304">
        <f t="shared" ca="1" si="116"/>
        <v>323.15182770426458</v>
      </c>
      <c r="M283" s="306">
        <f t="shared" ca="1" si="132"/>
        <v>1.4597638168352502</v>
      </c>
      <c r="N283" s="304">
        <f t="shared" ca="1" si="133"/>
        <v>83.638305790567983</v>
      </c>
      <c r="P283" s="310">
        <f t="shared" ca="1" si="134"/>
        <v>7</v>
      </c>
      <c r="Q283" s="304">
        <f t="shared" ca="1" si="135"/>
        <v>454.78723404255635</v>
      </c>
      <c r="R283" s="306">
        <f t="shared" ca="1" si="136"/>
        <v>0.2282365234462029</v>
      </c>
      <c r="S283" s="307">
        <f t="shared" ca="1" si="137"/>
        <v>6.9501820669091714</v>
      </c>
      <c r="T283" s="304">
        <f t="shared" ca="1" si="117"/>
        <v>68.181286076378981</v>
      </c>
      <c r="U283" s="311">
        <f t="shared" ca="1" si="118"/>
        <v>0</v>
      </c>
      <c r="V283" s="306">
        <f t="shared" ca="1" si="119"/>
        <v>1.186252617815688</v>
      </c>
      <c r="W283" s="304">
        <f t="shared" ca="1" si="120"/>
        <v>124.38900111940551</v>
      </c>
      <c r="Y283" s="314" t="str">
        <f t="shared" ca="1" si="138"/>
        <v/>
      </c>
      <c r="Z283" s="315" t="str">
        <f t="shared" ca="1" si="139"/>
        <v/>
      </c>
      <c r="AA283" s="316" t="str">
        <f t="shared" ca="1" si="140"/>
        <v/>
      </c>
      <c r="AC283" s="310" t="e">
        <f t="shared" ca="1" si="141"/>
        <v>#N/A</v>
      </c>
      <c r="AD283" s="323" t="e">
        <f t="shared" ca="1" si="142"/>
        <v>#N/A</v>
      </c>
      <c r="AE283" s="324">
        <f t="shared" ca="1" si="121"/>
        <v>321.38799475446774</v>
      </c>
      <c r="AG283" s="306">
        <f t="shared" ca="1" si="143"/>
        <v>37.851076063010694</v>
      </c>
      <c r="AH283" s="304">
        <f t="shared" ca="1" si="144"/>
        <v>47.600726060046931</v>
      </c>
    </row>
    <row r="284" spans="1:34" x14ac:dyDescent="0.2">
      <c r="A284" s="347">
        <f t="shared" ca="1" si="122"/>
        <v>0.01</v>
      </c>
      <c r="B284" s="304">
        <f t="shared" ca="1" si="123"/>
        <v>2.7999999999999843</v>
      </c>
      <c r="D284" s="306">
        <f t="shared" ca="1" si="124"/>
        <v>5.2365806421591783</v>
      </c>
      <c r="E284" s="307">
        <f t="shared" ca="1" si="125"/>
        <v>37.158619376693487</v>
      </c>
      <c r="F284" s="304">
        <f t="shared" ca="1" si="126"/>
        <v>37.525788077051985</v>
      </c>
      <c r="G284" s="306">
        <f t="shared" ca="1" si="127"/>
        <v>22.683258375661143</v>
      </c>
      <c r="H284" s="307">
        <f t="shared" ca="1" si="128"/>
        <v>203.35552779142276</v>
      </c>
      <c r="I284" s="304">
        <f t="shared" ca="1" si="129"/>
        <v>204.61671704400186</v>
      </c>
      <c r="J284" s="306">
        <f t="shared" ca="1" si="130"/>
        <v>33.943933882776733</v>
      </c>
      <c r="K284" s="307">
        <f t="shared" ca="1" si="131"/>
        <v>323.41969210141315</v>
      </c>
      <c r="L284" s="304">
        <f t="shared" ca="1" si="116"/>
        <v>325.19607606244449</v>
      </c>
      <c r="M284" s="306">
        <f t="shared" ca="1" si="132"/>
        <v>1.4597106934992843</v>
      </c>
      <c r="N284" s="304">
        <f t="shared" ca="1" si="133"/>
        <v>83.635262047623485</v>
      </c>
      <c r="P284" s="310">
        <f t="shared" ca="1" si="134"/>
        <v>7</v>
      </c>
      <c r="Q284" s="304">
        <f t="shared" ca="1" si="135"/>
        <v>452.74468085106707</v>
      </c>
      <c r="R284" s="306">
        <f t="shared" ca="1" si="136"/>
        <v>0.22721146116546212</v>
      </c>
      <c r="S284" s="307">
        <f t="shared" ca="1" si="137"/>
        <v>6.9479099522975165</v>
      </c>
      <c r="T284" s="304">
        <f t="shared" ca="1" si="117"/>
        <v>68.158996632038637</v>
      </c>
      <c r="U284" s="311">
        <f t="shared" ca="1" si="118"/>
        <v>0</v>
      </c>
      <c r="V284" s="306">
        <f t="shared" ca="1" si="119"/>
        <v>1.1860115690344961</v>
      </c>
      <c r="W284" s="304">
        <f t="shared" ca="1" si="120"/>
        <v>124.82094583739287</v>
      </c>
      <c r="Y284" s="314" t="str">
        <f t="shared" ca="1" si="138"/>
        <v/>
      </c>
      <c r="Z284" s="315" t="str">
        <f t="shared" ca="1" si="139"/>
        <v/>
      </c>
      <c r="AA284" s="316" t="str">
        <f t="shared" ca="1" si="140"/>
        <v/>
      </c>
      <c r="AC284" s="310" t="e">
        <f t="shared" ca="1" si="141"/>
        <v>#N/A</v>
      </c>
      <c r="AD284" s="323" t="e">
        <f t="shared" ca="1" si="142"/>
        <v>#N/A</v>
      </c>
      <c r="AE284" s="324">
        <f t="shared" ca="1" si="121"/>
        <v>323.41969210141315</v>
      </c>
      <c r="AG284" s="306">
        <f t="shared" ca="1" si="143"/>
        <v>37.51004157063548</v>
      </c>
      <c r="AH284" s="304">
        <f t="shared" ca="1" si="144"/>
        <v>47.259633758362362</v>
      </c>
    </row>
    <row r="285" spans="1:34" x14ac:dyDescent="0.2">
      <c r="A285" s="347">
        <f t="shared" ca="1" si="122"/>
        <v>0.01</v>
      </c>
      <c r="B285" s="304">
        <f t="shared" ca="1" si="123"/>
        <v>2.8099999999999841</v>
      </c>
      <c r="D285" s="306">
        <f t="shared" ca="1" si="124"/>
        <v>5.2012871958789555</v>
      </c>
      <c r="E285" s="307">
        <f t="shared" ca="1" si="125"/>
        <v>36.819566413952479</v>
      </c>
      <c r="F285" s="304">
        <f t="shared" ca="1" si="126"/>
        <v>37.185129546708211</v>
      </c>
      <c r="G285" s="306">
        <f t="shared" ca="1" si="127"/>
        <v>22.735271247619934</v>
      </c>
      <c r="H285" s="307">
        <f t="shared" ca="1" si="128"/>
        <v>203.72372345556229</v>
      </c>
      <c r="I285" s="304">
        <f t="shared" ca="1" si="129"/>
        <v>204.98840956820285</v>
      </c>
      <c r="J285" s="306">
        <f t="shared" ca="1" si="130"/>
        <v>34.171026530893137</v>
      </c>
      <c r="K285" s="307">
        <f t="shared" ca="1" si="131"/>
        <v>325.45508835764809</v>
      </c>
      <c r="L285" s="304">
        <f t="shared" ca="1" si="116"/>
        <v>327.24405814630086</v>
      </c>
      <c r="M285" s="306">
        <f t="shared" ca="1" si="132"/>
        <v>1.4596576412222313</v>
      </c>
      <c r="N285" s="304">
        <f t="shared" ca="1" si="133"/>
        <v>83.632222376054784</v>
      </c>
      <c r="P285" s="310">
        <f t="shared" ca="1" si="134"/>
        <v>7</v>
      </c>
      <c r="Q285" s="304">
        <f t="shared" ca="1" si="135"/>
        <v>450.70212765957774</v>
      </c>
      <c r="R285" s="306">
        <f t="shared" ca="1" si="136"/>
        <v>0.22618639888472128</v>
      </c>
      <c r="S285" s="307">
        <f t="shared" ca="1" si="137"/>
        <v>6.9456480883086691</v>
      </c>
      <c r="T285" s="304">
        <f t="shared" ca="1" si="117"/>
        <v>68.136807746308051</v>
      </c>
      <c r="U285" s="311">
        <f t="shared" ca="1" si="118"/>
        <v>0</v>
      </c>
      <c r="V285" s="306">
        <f t="shared" ca="1" si="119"/>
        <v>1.1857701297210823</v>
      </c>
      <c r="W285" s="304">
        <f t="shared" ca="1" si="120"/>
        <v>125.24933734086001</v>
      </c>
      <c r="Y285" s="314" t="str">
        <f t="shared" ca="1" si="138"/>
        <v/>
      </c>
      <c r="Z285" s="315" t="str">
        <f t="shared" ca="1" si="139"/>
        <v/>
      </c>
      <c r="AA285" s="316" t="str">
        <f t="shared" ca="1" si="140"/>
        <v/>
      </c>
      <c r="AC285" s="310" t="e">
        <f t="shared" ca="1" si="141"/>
        <v>#N/A</v>
      </c>
      <c r="AD285" s="323" t="e">
        <f t="shared" ca="1" si="142"/>
        <v>#N/A</v>
      </c>
      <c r="AE285" s="324">
        <f t="shared" ca="1" si="121"/>
        <v>325.45508835764809</v>
      </c>
      <c r="AG285" s="306">
        <f t="shared" ca="1" si="143"/>
        <v>37.169223572653038</v>
      </c>
      <c r="AH285" s="304">
        <f t="shared" ca="1" si="144"/>
        <v>46.918758001967824</v>
      </c>
    </row>
    <row r="286" spans="1:34" x14ac:dyDescent="0.2">
      <c r="A286" s="347">
        <f t="shared" ca="1" si="122"/>
        <v>0.01</v>
      </c>
      <c r="B286" s="304">
        <f t="shared" ca="1" si="123"/>
        <v>2.8199999999999839</v>
      </c>
      <c r="D286" s="306">
        <f t="shared" ca="1" si="124"/>
        <v>5.1659789508965277</v>
      </c>
      <c r="E286" s="307">
        <f t="shared" ca="1" si="125"/>
        <v>36.480737229707607</v>
      </c>
      <c r="F286" s="304">
        <f t="shared" ca="1" si="126"/>
        <v>36.84469469739274</v>
      </c>
      <c r="G286" s="306">
        <f t="shared" ca="1" si="127"/>
        <v>22.786931037128898</v>
      </c>
      <c r="H286" s="307">
        <f t="shared" ca="1" si="128"/>
        <v>204.08853082785936</v>
      </c>
      <c r="I286" s="304">
        <f t="shared" ca="1" si="129"/>
        <v>205.35669612059152</v>
      </c>
      <c r="J286" s="306">
        <f t="shared" ca="1" si="130"/>
        <v>34.398637542316884</v>
      </c>
      <c r="K286" s="307">
        <f t="shared" ca="1" si="131"/>
        <v>327.49414962906519</v>
      </c>
      <c r="L286" s="304">
        <f t="shared" ca="1" si="116"/>
        <v>329.29573988442701</v>
      </c>
      <c r="M286" s="306">
        <f t="shared" ca="1" si="132"/>
        <v>1.4596046589020182</v>
      </c>
      <c r="N286" s="304">
        <f t="shared" ca="1" si="133"/>
        <v>83.629186712717768</v>
      </c>
      <c r="P286" s="310">
        <f t="shared" ca="1" si="134"/>
        <v>7</v>
      </c>
      <c r="Q286" s="304">
        <f t="shared" ca="1" si="135"/>
        <v>448.65957446808841</v>
      </c>
      <c r="R286" s="306">
        <f t="shared" ca="1" si="136"/>
        <v>0.22516133660398047</v>
      </c>
      <c r="S286" s="307">
        <f t="shared" ca="1" si="137"/>
        <v>6.9433964749426291</v>
      </c>
      <c r="T286" s="304">
        <f t="shared" ca="1" si="117"/>
        <v>68.114719419187196</v>
      </c>
      <c r="U286" s="311">
        <f t="shared" ca="1" si="118"/>
        <v>0</v>
      </c>
      <c r="V286" s="306">
        <f t="shared" ca="1" si="119"/>
        <v>1.1855283041438802</v>
      </c>
      <c r="W286" s="304">
        <f t="shared" ca="1" si="120"/>
        <v>125.67415771773017</v>
      </c>
      <c r="Y286" s="314" t="str">
        <f t="shared" ca="1" si="138"/>
        <v/>
      </c>
      <c r="Z286" s="315" t="str">
        <f t="shared" ca="1" si="139"/>
        <v/>
      </c>
      <c r="AA286" s="316" t="str">
        <f t="shared" ca="1" si="140"/>
        <v/>
      </c>
      <c r="AC286" s="310" t="e">
        <f t="shared" ca="1" si="141"/>
        <v>#N/A</v>
      </c>
      <c r="AD286" s="323" t="e">
        <f t="shared" ca="1" si="142"/>
        <v>#N/A</v>
      </c>
      <c r="AE286" s="324">
        <f t="shared" ca="1" si="121"/>
        <v>327.49414962906519</v>
      </c>
      <c r="AG286" s="306">
        <f t="shared" ca="1" si="143"/>
        <v>36.828626415759857</v>
      </c>
      <c r="AH286" s="304">
        <f t="shared" ca="1" si="144"/>
        <v>46.578103136462566</v>
      </c>
    </row>
    <row r="287" spans="1:34" x14ac:dyDescent="0.2">
      <c r="A287" s="347">
        <f t="shared" ca="1" si="122"/>
        <v>0.01</v>
      </c>
      <c r="B287" s="304">
        <f t="shared" ca="1" si="123"/>
        <v>2.8299999999999836</v>
      </c>
      <c r="D287" s="306">
        <f t="shared" ca="1" si="124"/>
        <v>5.1306565430030702</v>
      </c>
      <c r="E287" s="307">
        <f t="shared" ca="1" si="125"/>
        <v>36.142136087904454</v>
      </c>
      <c r="F287" s="304">
        <f t="shared" ca="1" si="126"/>
        <v>36.504487909829194</v>
      </c>
      <c r="G287" s="306">
        <f t="shared" ca="1" si="127"/>
        <v>22.83823760255893</v>
      </c>
      <c r="H287" s="307">
        <f t="shared" ca="1" si="128"/>
        <v>204.44995218873839</v>
      </c>
      <c r="I287" s="304">
        <f t="shared" ca="1" si="129"/>
        <v>205.72157895264257</v>
      </c>
      <c r="J287" s="306">
        <f t="shared" ca="1" si="130"/>
        <v>34.626763385515325</v>
      </c>
      <c r="K287" s="307">
        <f t="shared" ca="1" si="131"/>
        <v>329.53684204414816</v>
      </c>
      <c r="L287" s="304">
        <f t="shared" ca="1" si="116"/>
        <v>331.35108722771128</v>
      </c>
      <c r="M287" s="306">
        <f t="shared" ca="1" si="132"/>
        <v>1.4595517454460216</v>
      </c>
      <c r="N287" s="304">
        <f t="shared" ca="1" si="133"/>
        <v>83.626154995009713</v>
      </c>
      <c r="P287" s="310">
        <f t="shared" ca="1" si="134"/>
        <v>7</v>
      </c>
      <c r="Q287" s="304">
        <f t="shared" ca="1" si="135"/>
        <v>446.61702127659908</v>
      </c>
      <c r="R287" s="306">
        <f t="shared" ca="1" si="136"/>
        <v>0.22413627432323965</v>
      </c>
      <c r="S287" s="307">
        <f t="shared" ca="1" si="137"/>
        <v>6.9411551121993966</v>
      </c>
      <c r="T287" s="304">
        <f t="shared" ca="1" si="117"/>
        <v>68.092731650676086</v>
      </c>
      <c r="U287" s="311">
        <f t="shared" ca="1" si="118"/>
        <v>0</v>
      </c>
      <c r="V287" s="306">
        <f t="shared" ca="1" si="119"/>
        <v>1.1852860965657406</v>
      </c>
      <c r="W287" s="304">
        <f t="shared" ca="1" si="120"/>
        <v>126.09538936428891</v>
      </c>
      <c r="Y287" s="314" t="str">
        <f t="shared" ca="1" si="138"/>
        <v/>
      </c>
      <c r="Z287" s="315" t="str">
        <f t="shared" ca="1" si="139"/>
        <v/>
      </c>
      <c r="AA287" s="316" t="str">
        <f t="shared" ca="1" si="140"/>
        <v/>
      </c>
      <c r="AC287" s="310" t="e">
        <f t="shared" ca="1" si="141"/>
        <v>#N/A</v>
      </c>
      <c r="AD287" s="323" t="e">
        <f t="shared" ca="1" si="142"/>
        <v>#N/A</v>
      </c>
      <c r="AE287" s="324">
        <f t="shared" ca="1" si="121"/>
        <v>329.53684204414816</v>
      </c>
      <c r="AG287" s="306">
        <f t="shared" ca="1" si="143"/>
        <v>36.488254405794535</v>
      </c>
      <c r="AH287" s="304">
        <f t="shared" ca="1" si="144"/>
        <v>46.237673466595957</v>
      </c>
    </row>
    <row r="288" spans="1:34" x14ac:dyDescent="0.2">
      <c r="A288" s="347">
        <f t="shared" ca="1" si="122"/>
        <v>0.01</v>
      </c>
      <c r="B288" s="304">
        <f t="shared" ca="1" si="123"/>
        <v>2.8399999999999834</v>
      </c>
      <c r="D288" s="306">
        <f t="shared" ca="1" si="124"/>
        <v>5.0953206023407986</v>
      </c>
      <c r="E288" s="307">
        <f t="shared" ca="1" si="125"/>
        <v>35.803767211973842</v>
      </c>
      <c r="F288" s="304">
        <f t="shared" ca="1" si="126"/>
        <v>36.164513526520054</v>
      </c>
      <c r="G288" s="306">
        <f t="shared" ca="1" si="127"/>
        <v>22.889190808582338</v>
      </c>
      <c r="H288" s="307">
        <f t="shared" ca="1" si="128"/>
        <v>204.80798986085813</v>
      </c>
      <c r="I288" s="304">
        <f t="shared" ca="1" si="129"/>
        <v>206.08306035848037</v>
      </c>
      <c r="J288" s="306">
        <f t="shared" ca="1" si="130"/>
        <v>34.855400527571028</v>
      </c>
      <c r="K288" s="307">
        <f t="shared" ca="1" si="131"/>
        <v>331.58313175439616</v>
      </c>
      <c r="L288" s="304">
        <f t="shared" ca="1" si="116"/>
        <v>333.41006614976493</v>
      </c>
      <c r="M288" s="306">
        <f t="shared" ca="1" si="132"/>
        <v>1.4594988997709049</v>
      </c>
      <c r="N288" s="304">
        <f t="shared" ca="1" si="133"/>
        <v>83.623127160859994</v>
      </c>
      <c r="P288" s="310">
        <f t="shared" ca="1" si="134"/>
        <v>7</v>
      </c>
      <c r="Q288" s="304">
        <f t="shared" ca="1" si="135"/>
        <v>444.57446808510974</v>
      </c>
      <c r="R288" s="306">
        <f t="shared" ca="1" si="136"/>
        <v>0.22311121204249884</v>
      </c>
      <c r="S288" s="307">
        <f t="shared" ca="1" si="137"/>
        <v>6.9389240000789716</v>
      </c>
      <c r="T288" s="304">
        <f t="shared" ca="1" si="117"/>
        <v>68.070844440774721</v>
      </c>
      <c r="U288" s="311">
        <f t="shared" ca="1" si="118"/>
        <v>0</v>
      </c>
      <c r="V288" s="306">
        <f t="shared" ca="1" si="119"/>
        <v>1.18504351124387</v>
      </c>
      <c r="W288" s="304">
        <f t="shared" ca="1" si="120"/>
        <v>126.51301498433877</v>
      </c>
      <c r="Y288" s="314" t="str">
        <f t="shared" ca="1" si="138"/>
        <v/>
      </c>
      <c r="Z288" s="315" t="str">
        <f t="shared" ca="1" si="139"/>
        <v/>
      </c>
      <c r="AA288" s="316" t="str">
        <f t="shared" ca="1" si="140"/>
        <v/>
      </c>
      <c r="AC288" s="310" t="e">
        <f t="shared" ca="1" si="141"/>
        <v>#N/A</v>
      </c>
      <c r="AD288" s="323" t="e">
        <f t="shared" ca="1" si="142"/>
        <v>#N/A</v>
      </c>
      <c r="AE288" s="324">
        <f t="shared" ca="1" si="121"/>
        <v>331.58313175439616</v>
      </c>
      <c r="AG288" s="306">
        <f t="shared" ca="1" si="143"/>
        <v>36.14811180772692</v>
      </c>
      <c r="AH288" s="304">
        <f t="shared" ca="1" si="144"/>
        <v>45.897473256256482</v>
      </c>
    </row>
    <row r="289" spans="1:34" x14ac:dyDescent="0.2">
      <c r="A289" s="347">
        <f t="shared" ca="1" si="122"/>
        <v>0.01</v>
      </c>
      <c r="B289" s="304">
        <f t="shared" ca="1" si="123"/>
        <v>2.8499999999999832</v>
      </c>
      <c r="D289" s="306">
        <f t="shared" ca="1" si="124"/>
        <v>5.0599717534143736</v>
      </c>
      <c r="E289" s="307">
        <f t="shared" ca="1" si="125"/>
        <v>35.465634784823813</v>
      </c>
      <c r="F289" s="304">
        <f t="shared" ca="1" si="126"/>
        <v>35.824775851857829</v>
      </c>
      <c r="G289" s="306">
        <f t="shared" ca="1" si="127"/>
        <v>22.939790526116482</v>
      </c>
      <c r="H289" s="307">
        <f t="shared" ca="1" si="128"/>
        <v>205.16264620870638</v>
      </c>
      <c r="I289" s="304">
        <f t="shared" ca="1" si="129"/>
        <v>206.44114267447011</v>
      </c>
      <c r="J289" s="306">
        <f t="shared" ca="1" si="130"/>
        <v>35.084545434244525</v>
      </c>
      <c r="K289" s="307">
        <f t="shared" ca="1" si="131"/>
        <v>333.632984934744</v>
      </c>
      <c r="L289" s="304">
        <f t="shared" ca="1" si="116"/>
        <v>335.47264264734719</v>
      </c>
      <c r="M289" s="306">
        <f t="shared" ca="1" si="132"/>
        <v>1.4594461208024576</v>
      </c>
      <c r="N289" s="304">
        <f t="shared" ca="1" si="133"/>
        <v>83.620103148720915</v>
      </c>
      <c r="P289" s="310">
        <f t="shared" ca="1" si="134"/>
        <v>7</v>
      </c>
      <c r="Q289" s="304">
        <f t="shared" ca="1" si="135"/>
        <v>442.53191489362047</v>
      </c>
      <c r="R289" s="306">
        <f t="shared" ca="1" si="136"/>
        <v>0.22208614976175803</v>
      </c>
      <c r="S289" s="307">
        <f t="shared" ca="1" si="137"/>
        <v>6.936703138581354</v>
      </c>
      <c r="T289" s="304">
        <f t="shared" ca="1" si="117"/>
        <v>68.049057789483086</v>
      </c>
      <c r="U289" s="311">
        <f t="shared" ca="1" si="118"/>
        <v>0</v>
      </c>
      <c r="V289" s="306">
        <f t="shared" ca="1" si="119"/>
        <v>1.1848005524297729</v>
      </c>
      <c r="W289" s="304">
        <f t="shared" ca="1" si="120"/>
        <v>126.92701758833383</v>
      </c>
      <c r="Y289" s="314" t="str">
        <f t="shared" ca="1" si="138"/>
        <v/>
      </c>
      <c r="Z289" s="315" t="str">
        <f t="shared" ca="1" si="139"/>
        <v/>
      </c>
      <c r="AA289" s="316" t="str">
        <f t="shared" ca="1" si="140"/>
        <v/>
      </c>
      <c r="AC289" s="310" t="e">
        <f t="shared" ca="1" si="141"/>
        <v>#N/A</v>
      </c>
      <c r="AD289" s="323" t="e">
        <f t="shared" ca="1" si="142"/>
        <v>#N/A</v>
      </c>
      <c r="AE289" s="324">
        <f t="shared" ca="1" si="121"/>
        <v>333.632984934744</v>
      </c>
      <c r="AG289" s="306">
        <f t="shared" ca="1" si="143"/>
        <v>35.808202845651138</v>
      </c>
      <c r="AH289" s="304">
        <f t="shared" ca="1" si="144"/>
        <v>45.557506728464624</v>
      </c>
    </row>
    <row r="290" spans="1:34" x14ac:dyDescent="0.2">
      <c r="A290" s="347">
        <f t="shared" ca="1" si="122"/>
        <v>0.01</v>
      </c>
      <c r="B290" s="304">
        <f t="shared" ca="1" si="123"/>
        <v>2.859999999999983</v>
      </c>
      <c r="D290" s="306">
        <f t="shared" ca="1" si="124"/>
        <v>5.0246106151023415</v>
      </c>
      <c r="E290" s="307">
        <f t="shared" ca="1" si="125"/>
        <v>35.127742948835412</v>
      </c>
      <c r="F290" s="304">
        <f t="shared" ca="1" si="126"/>
        <v>35.485279152246427</v>
      </c>
      <c r="G290" s="306">
        <f t="shared" ca="1" si="127"/>
        <v>22.990036632267504</v>
      </c>
      <c r="H290" s="307">
        <f t="shared" ca="1" si="128"/>
        <v>205.51392363819474</v>
      </c>
      <c r="I290" s="304">
        <f t="shared" ca="1" si="129"/>
        <v>206.79582827880918</v>
      </c>
      <c r="J290" s="306">
        <f t="shared" ca="1" si="130"/>
        <v>35.314194570036442</v>
      </c>
      <c r="K290" s="307">
        <f t="shared" ca="1" si="131"/>
        <v>335.68636778397848</v>
      </c>
      <c r="L290" s="304">
        <f t="shared" ca="1" si="116"/>
        <v>337.538782740785</v>
      </c>
      <c r="M290" s="306">
        <f t="shared" ca="1" si="132"/>
        <v>1.4593934074754384</v>
      </c>
      <c r="N290" s="304">
        <f t="shared" ca="1" si="133"/>
        <v>83.617082897558632</v>
      </c>
      <c r="P290" s="310">
        <f t="shared" ca="1" si="134"/>
        <v>7</v>
      </c>
      <c r="Q290" s="304">
        <f t="shared" ca="1" si="135"/>
        <v>440.48936170213113</v>
      </c>
      <c r="R290" s="306">
        <f t="shared" ca="1" si="136"/>
        <v>0.22106108748101722</v>
      </c>
      <c r="S290" s="307">
        <f t="shared" ca="1" si="137"/>
        <v>6.9344925277065439</v>
      </c>
      <c r="T290" s="304">
        <f t="shared" ca="1" si="117"/>
        <v>68.027371696801197</v>
      </c>
      <c r="U290" s="311">
        <f t="shared" ca="1" si="118"/>
        <v>0</v>
      </c>
      <c r="V290" s="306">
        <f t="shared" ca="1" si="119"/>
        <v>1.1845572243691931</v>
      </c>
      <c r="W290" s="304">
        <f t="shared" ca="1" si="120"/>
        <v>127.33738049249483</v>
      </c>
      <c r="Y290" s="314" t="str">
        <f t="shared" ca="1" si="138"/>
        <v/>
      </c>
      <c r="Z290" s="315" t="str">
        <f t="shared" ca="1" si="139"/>
        <v/>
      </c>
      <c r="AA290" s="316" t="str">
        <f t="shared" ca="1" si="140"/>
        <v/>
      </c>
      <c r="AC290" s="310" t="e">
        <f t="shared" ca="1" si="141"/>
        <v>#N/A</v>
      </c>
      <c r="AD290" s="323" t="e">
        <f t="shared" ca="1" si="142"/>
        <v>#N/A</v>
      </c>
      <c r="AE290" s="324">
        <f t="shared" ca="1" si="121"/>
        <v>335.68636778397848</v>
      </c>
      <c r="AG290" s="306">
        <f t="shared" ca="1" si="143"/>
        <v>35.468531702782307</v>
      </c>
      <c r="AH290" s="304">
        <f t="shared" ca="1" si="144"/>
        <v>45.217778065369444</v>
      </c>
    </row>
    <row r="291" spans="1:34" x14ac:dyDescent="0.2">
      <c r="A291" s="347">
        <f t="shared" ca="1" si="122"/>
        <v>0.01</v>
      </c>
      <c r="B291" s="304">
        <f t="shared" ca="1" si="123"/>
        <v>2.8699999999999828</v>
      </c>
      <c r="D291" s="306">
        <f t="shared" ca="1" si="124"/>
        <v>4.989237800668664</v>
      </c>
      <c r="E291" s="307">
        <f t="shared" ca="1" si="125"/>
        <v>34.790095805862293</v>
      </c>
      <c r="F291" s="304">
        <f t="shared" ca="1" si="126"/>
        <v>35.146027656233052</v>
      </c>
      <c r="G291" s="306">
        <f t="shared" ca="1" si="127"/>
        <v>23.039929010274189</v>
      </c>
      <c r="H291" s="307">
        <f t="shared" ca="1" si="128"/>
        <v>205.86182459625337</v>
      </c>
      <c r="I291" s="304">
        <f t="shared" ca="1" si="129"/>
        <v>207.1471195911183</v>
      </c>
      <c r="J291" s="306">
        <f t="shared" ca="1" si="130"/>
        <v>35.544344398249152</v>
      </c>
      <c r="K291" s="307">
        <f t="shared" ca="1" si="131"/>
        <v>337.74324652515071</v>
      </c>
      <c r="L291" s="304">
        <f t="shared" ca="1" si="116"/>
        <v>339.60845247439011</v>
      </c>
      <c r="M291" s="306">
        <f t="shared" ca="1" si="132"/>
        <v>1.45934075873342</v>
      </c>
      <c r="N291" s="304">
        <f t="shared" ca="1" si="133"/>
        <v>83.614066346844297</v>
      </c>
      <c r="P291" s="310">
        <f t="shared" ca="1" si="134"/>
        <v>7</v>
      </c>
      <c r="Q291" s="304">
        <f t="shared" ca="1" si="135"/>
        <v>438.44680851064186</v>
      </c>
      <c r="R291" s="306">
        <f t="shared" ca="1" si="136"/>
        <v>0.22003602520027643</v>
      </c>
      <c r="S291" s="307">
        <f t="shared" ca="1" si="137"/>
        <v>6.9322921674545412</v>
      </c>
      <c r="T291" s="304">
        <f t="shared" ca="1" si="117"/>
        <v>68.005786162729052</v>
      </c>
      <c r="U291" s="311">
        <f t="shared" ca="1" si="118"/>
        <v>0</v>
      </c>
      <c r="V291" s="306">
        <f t="shared" ca="1" si="119"/>
        <v>1.1843135313020534</v>
      </c>
      <c r="W291" s="304">
        <f t="shared" ca="1" si="120"/>
        <v>127.74408731790417</v>
      </c>
      <c r="Y291" s="314" t="str">
        <f t="shared" ca="1" si="138"/>
        <v/>
      </c>
      <c r="Z291" s="315" t="str">
        <f t="shared" ca="1" si="139"/>
        <v/>
      </c>
      <c r="AA291" s="316" t="str">
        <f t="shared" ca="1" si="140"/>
        <v/>
      </c>
      <c r="AC291" s="310" t="e">
        <f t="shared" ca="1" si="141"/>
        <v>#N/A</v>
      </c>
      <c r="AD291" s="323" t="e">
        <f t="shared" ca="1" si="142"/>
        <v>#N/A</v>
      </c>
      <c r="AE291" s="324">
        <f t="shared" ca="1" si="121"/>
        <v>337.74324652515071</v>
      </c>
      <c r="AG291" s="306">
        <f t="shared" ca="1" si="143"/>
        <v>35.129102521457114</v>
      </c>
      <c r="AH291" s="304">
        <f t="shared" ca="1" si="144"/>
        <v>44.878291408249005</v>
      </c>
    </row>
    <row r="292" spans="1:34" x14ac:dyDescent="0.2">
      <c r="A292" s="347">
        <f t="shared" ca="1" si="122"/>
        <v>0.01</v>
      </c>
      <c r="B292" s="304">
        <f t="shared" ca="1" si="123"/>
        <v>2.8799999999999826</v>
      </c>
      <c r="D292" s="306">
        <f t="shared" ca="1" si="124"/>
        <v>4.9538539177743077</v>
      </c>
      <c r="E292" s="307">
        <f t="shared" ca="1" si="125"/>
        <v>34.452697417233921</v>
      </c>
      <c r="F292" s="304">
        <f t="shared" ca="1" si="126"/>
        <v>34.807025554650963</v>
      </c>
      <c r="G292" s="306">
        <f t="shared" ca="1" si="127"/>
        <v>23.089467549451932</v>
      </c>
      <c r="H292" s="307">
        <f t="shared" ca="1" si="128"/>
        <v>206.20635157042571</v>
      </c>
      <c r="I292" s="304">
        <f t="shared" ca="1" si="129"/>
        <v>207.49501907203268</v>
      </c>
      <c r="J292" s="306">
        <f t="shared" ca="1" si="130"/>
        <v>35.774991381047784</v>
      </c>
      <c r="K292" s="307">
        <f t="shared" ca="1" si="131"/>
        <v>339.8035874059841</v>
      </c>
      <c r="L292" s="304">
        <f t="shared" ca="1" si="116"/>
        <v>341.68161791687055</v>
      </c>
      <c r="M292" s="306">
        <f t="shared" ca="1" si="132"/>
        <v>1.4592881735286369</v>
      </c>
      <c r="N292" s="304">
        <f t="shared" ca="1" si="133"/>
        <v>83.611053436545404</v>
      </c>
      <c r="P292" s="310">
        <f t="shared" ca="1" si="134"/>
        <v>7</v>
      </c>
      <c r="Q292" s="304">
        <f t="shared" ca="1" si="135"/>
        <v>436.40425531915253</v>
      </c>
      <c r="R292" s="306">
        <f t="shared" ca="1" si="136"/>
        <v>0.21901096291953562</v>
      </c>
      <c r="S292" s="307">
        <f t="shared" ca="1" si="137"/>
        <v>6.9301020578253461</v>
      </c>
      <c r="T292" s="304">
        <f t="shared" ca="1" si="117"/>
        <v>67.984301187266652</v>
      </c>
      <c r="U292" s="311">
        <f t="shared" ca="1" si="118"/>
        <v>0</v>
      </c>
      <c r="V292" s="306">
        <f t="shared" ca="1" si="119"/>
        <v>1.184069477462401</v>
      </c>
      <c r="W292" s="304">
        <f t="shared" ca="1" si="120"/>
        <v>128.14712198958239</v>
      </c>
      <c r="Y292" s="314" t="str">
        <f t="shared" ca="1" si="138"/>
        <v/>
      </c>
      <c r="Z292" s="315" t="str">
        <f t="shared" ca="1" si="139"/>
        <v/>
      </c>
      <c r="AA292" s="316" t="str">
        <f t="shared" ca="1" si="140"/>
        <v/>
      </c>
      <c r="AC292" s="310" t="e">
        <f t="shared" ca="1" si="141"/>
        <v>#N/A</v>
      </c>
      <c r="AD292" s="323" t="e">
        <f t="shared" ca="1" si="142"/>
        <v>#N/A</v>
      </c>
      <c r="AE292" s="324">
        <f t="shared" ca="1" si="121"/>
        <v>339.8035874059841</v>
      </c>
      <c r="AG292" s="306">
        <f t="shared" ca="1" si="143"/>
        <v>34.789919403137986</v>
      </c>
      <c r="AH292" s="304">
        <f t="shared" ca="1" si="144"/>
        <v>44.539050857514404</v>
      </c>
    </row>
    <row r="293" spans="1:34" x14ac:dyDescent="0.2">
      <c r="A293" s="347">
        <f t="shared" ca="1" si="122"/>
        <v>0.01</v>
      </c>
      <c r="B293" s="304">
        <f t="shared" ca="1" si="123"/>
        <v>2.8899999999999824</v>
      </c>
      <c r="D293" s="306">
        <f t="shared" ca="1" si="124"/>
        <v>4.9184595684888999</v>
      </c>
      <c r="E293" s="307">
        <f t="shared" ca="1" si="125"/>
        <v>34.115551803762628</v>
      </c>
      <c r="F293" s="304">
        <f t="shared" ca="1" si="126"/>
        <v>34.468277000773789</v>
      </c>
      <c r="G293" s="306">
        <f t="shared" ca="1" si="127"/>
        <v>23.13865214513682</v>
      </c>
      <c r="H293" s="307">
        <f t="shared" ca="1" si="128"/>
        <v>206.54750708846333</v>
      </c>
      <c r="I293" s="304">
        <f t="shared" ca="1" si="129"/>
        <v>207.83952922279354</v>
      </c>
      <c r="J293" s="306">
        <f t="shared" ca="1" si="130"/>
        <v>36.006131979520724</v>
      </c>
      <c r="K293" s="307">
        <f t="shared" ca="1" si="131"/>
        <v>341.86735669927856</v>
      </c>
      <c r="L293" s="304">
        <f t="shared" ca="1" si="116"/>
        <v>343.75824516173924</v>
      </c>
      <c r="M293" s="306">
        <f t="shared" ca="1" si="132"/>
        <v>1.4592356508218358</v>
      </c>
      <c r="N293" s="304">
        <f t="shared" ca="1" si="133"/>
        <v>83.608044107117095</v>
      </c>
      <c r="P293" s="310">
        <f t="shared" ca="1" si="134"/>
        <v>7</v>
      </c>
      <c r="Q293" s="304">
        <f t="shared" ca="1" si="135"/>
        <v>434.36170212766319</v>
      </c>
      <c r="R293" s="306">
        <f t="shared" ca="1" si="136"/>
        <v>0.21798590063879481</v>
      </c>
      <c r="S293" s="307">
        <f t="shared" ca="1" si="137"/>
        <v>6.9279221988189583</v>
      </c>
      <c r="T293" s="304">
        <f t="shared" ca="1" si="117"/>
        <v>67.962916770413983</v>
      </c>
      <c r="U293" s="311">
        <f t="shared" ca="1" si="118"/>
        <v>0</v>
      </c>
      <c r="V293" s="306">
        <f t="shared" ca="1" si="119"/>
        <v>1.1838250670783481</v>
      </c>
      <c r="W293" s="304">
        <f t="shared" ca="1" si="120"/>
        <v>128.54646873554532</v>
      </c>
      <c r="Y293" s="314" t="str">
        <f t="shared" ca="1" si="138"/>
        <v/>
      </c>
      <c r="Z293" s="315" t="str">
        <f t="shared" ca="1" si="139"/>
        <v/>
      </c>
      <c r="AA293" s="316" t="str">
        <f t="shared" ca="1" si="140"/>
        <v/>
      </c>
      <c r="AC293" s="310" t="e">
        <f t="shared" ca="1" si="141"/>
        <v>#N/A</v>
      </c>
      <c r="AD293" s="323" t="e">
        <f t="shared" ca="1" si="142"/>
        <v>#N/A</v>
      </c>
      <c r="AE293" s="324">
        <f t="shared" ca="1" si="121"/>
        <v>341.86735669927856</v>
      </c>
      <c r="AG293" s="306">
        <f t="shared" ca="1" si="143"/>
        <v>34.450986408421052</v>
      </c>
      <c r="AH293" s="304">
        <f t="shared" ca="1" si="144"/>
        <v>44.200060472717624</v>
      </c>
    </row>
    <row r="294" spans="1:34" x14ac:dyDescent="0.2">
      <c r="A294" s="347">
        <f t="shared" ca="1" si="122"/>
        <v>0.01</v>
      </c>
      <c r="B294" s="304">
        <f t="shared" ca="1" si="123"/>
        <v>2.8999999999999821</v>
      </c>
      <c r="D294" s="306">
        <f t="shared" ca="1" si="124"/>
        <v>4.8830553493025173</v>
      </c>
      <c r="E294" s="307">
        <f t="shared" ca="1" si="125"/>
        <v>33.778662945754171</v>
      </c>
      <c r="F294" s="304">
        <f t="shared" ca="1" si="126"/>
        <v>34.129786110481525</v>
      </c>
      <c r="G294" s="306">
        <f t="shared" ca="1" si="127"/>
        <v>23.187482698629847</v>
      </c>
      <c r="H294" s="307">
        <f t="shared" ca="1" si="128"/>
        <v>206.88529371792089</v>
      </c>
      <c r="I294" s="304">
        <f t="shared" ca="1" si="129"/>
        <v>208.18065258483955</v>
      </c>
      <c r="J294" s="306">
        <f t="shared" ca="1" si="130"/>
        <v>36.237762653739559</v>
      </c>
      <c r="K294" s="307">
        <f t="shared" ca="1" si="131"/>
        <v>343.93452070331045</v>
      </c>
      <c r="L294" s="304">
        <f t="shared" ca="1" si="116"/>
        <v>345.83830032771766</v>
      </c>
      <c r="M294" s="306">
        <f t="shared" ca="1" si="132"/>
        <v>1.459183189582129</v>
      </c>
      <c r="N294" s="304">
        <f t="shared" ca="1" si="133"/>
        <v>83.60503829949387</v>
      </c>
      <c r="P294" s="310">
        <f t="shared" ca="1" si="134"/>
        <v>7</v>
      </c>
      <c r="Q294" s="304">
        <f t="shared" ca="1" si="135"/>
        <v>432.31914893617386</v>
      </c>
      <c r="R294" s="306">
        <f t="shared" ca="1" si="136"/>
        <v>0.21696083835805396</v>
      </c>
      <c r="S294" s="307">
        <f t="shared" ca="1" si="137"/>
        <v>6.9257525904353781</v>
      </c>
      <c r="T294" s="304">
        <f t="shared" ca="1" si="117"/>
        <v>67.941632912171059</v>
      </c>
      <c r="U294" s="311">
        <f t="shared" ca="1" si="118"/>
        <v>0</v>
      </c>
      <c r="V294" s="306">
        <f t="shared" ca="1" si="119"/>
        <v>1.1835803043720188</v>
      </c>
      <c r="W294" s="304">
        <f t="shared" ca="1" si="120"/>
        <v>128.94211208584346</v>
      </c>
      <c r="Y294" s="314" t="str">
        <f t="shared" ca="1" si="138"/>
        <v/>
      </c>
      <c r="Z294" s="315" t="str">
        <f t="shared" ca="1" si="139"/>
        <v/>
      </c>
      <c r="AA294" s="316" t="str">
        <f t="shared" ca="1" si="140"/>
        <v/>
      </c>
      <c r="AC294" s="310" t="e">
        <f t="shared" ca="1" si="141"/>
        <v>#N/A</v>
      </c>
      <c r="AD294" s="323" t="e">
        <f t="shared" ca="1" si="142"/>
        <v>#N/A</v>
      </c>
      <c r="AE294" s="324">
        <f t="shared" ca="1" si="121"/>
        <v>343.93452070331045</v>
      </c>
      <c r="AG294" s="306">
        <f t="shared" ca="1" si="143"/>
        <v>34.112307557047686</v>
      </c>
      <c r="AH294" s="304">
        <f t="shared" ca="1" si="144"/>
        <v>43.861324272562889</v>
      </c>
    </row>
    <row r="295" spans="1:34" x14ac:dyDescent="0.2">
      <c r="A295" s="347">
        <f t="shared" ca="1" si="122"/>
        <v>0.01</v>
      </c>
      <c r="B295" s="304">
        <f t="shared" ca="1" si="123"/>
        <v>2.9099999999999819</v>
      </c>
      <c r="D295" s="306">
        <f t="shared" ca="1" si="124"/>
        <v>4.8476418511374506</v>
      </c>
      <c r="E295" s="307">
        <f t="shared" ca="1" si="125"/>
        <v>33.442034783021889</v>
      </c>
      <c r="F295" s="304">
        <f t="shared" ca="1" si="126"/>
        <v>33.79155696243879</v>
      </c>
      <c r="G295" s="306">
        <f t="shared" ca="1" si="127"/>
        <v>23.235959117141221</v>
      </c>
      <c r="H295" s="307">
        <f t="shared" ca="1" si="128"/>
        <v>207.21971406575111</v>
      </c>
      <c r="I295" s="304">
        <f t="shared" ca="1" si="129"/>
        <v>208.51839173939814</v>
      </c>
      <c r="J295" s="306">
        <f t="shared" ca="1" si="130"/>
        <v>36.469879862818416</v>
      </c>
      <c r="K295" s="307">
        <f t="shared" ca="1" si="131"/>
        <v>346.00504574222879</v>
      </c>
      <c r="L295" s="304">
        <f t="shared" ca="1" si="116"/>
        <v>347.92174955913612</v>
      </c>
      <c r="M295" s="306">
        <f t="shared" ca="1" si="132"/>
        <v>1.4591307887868497</v>
      </c>
      <c r="N295" s="304">
        <f t="shared" ca="1" si="133"/>
        <v>83.602035955081234</v>
      </c>
      <c r="P295" s="310">
        <f t="shared" ca="1" si="134"/>
        <v>7</v>
      </c>
      <c r="Q295" s="304">
        <f t="shared" ca="1" si="135"/>
        <v>430.27659574468453</v>
      </c>
      <c r="R295" s="306">
        <f t="shared" ca="1" si="136"/>
        <v>0.21593577607731315</v>
      </c>
      <c r="S295" s="307">
        <f t="shared" ca="1" si="137"/>
        <v>6.9235932326746052</v>
      </c>
      <c r="T295" s="304">
        <f t="shared" ca="1" si="117"/>
        <v>67.92044961253788</v>
      </c>
      <c r="U295" s="311">
        <f t="shared" ca="1" si="118"/>
        <v>0</v>
      </c>
      <c r="V295" s="306">
        <f t="shared" ca="1" si="119"/>
        <v>1.1833351935594916</v>
      </c>
      <c r="W295" s="304">
        <f t="shared" ca="1" si="120"/>
        <v>129.3340368715819</v>
      </c>
      <c r="Y295" s="314" t="str">
        <f t="shared" ca="1" si="138"/>
        <v/>
      </c>
      <c r="Z295" s="315" t="str">
        <f t="shared" ca="1" si="139"/>
        <v/>
      </c>
      <c r="AA295" s="316" t="str">
        <f t="shared" ca="1" si="140"/>
        <v/>
      </c>
      <c r="AC295" s="310" t="e">
        <f t="shared" ca="1" si="141"/>
        <v>#N/A</v>
      </c>
      <c r="AD295" s="323" t="e">
        <f t="shared" ca="1" si="142"/>
        <v>#N/A</v>
      </c>
      <c r="AE295" s="324">
        <f t="shared" ca="1" si="121"/>
        <v>346.00504574222879</v>
      </c>
      <c r="AG295" s="306">
        <f t="shared" ca="1" si="143"/>
        <v>33.773886827919583</v>
      </c>
      <c r="AH295" s="304">
        <f t="shared" ca="1" si="144"/>
        <v>43.522846234921666</v>
      </c>
    </row>
    <row r="296" spans="1:34" x14ac:dyDescent="0.2">
      <c r="A296" s="347">
        <f t="shared" ca="1" si="122"/>
        <v>0.01</v>
      </c>
      <c r="B296" s="304">
        <f t="shared" ca="1" si="123"/>
        <v>2.9199999999999817</v>
      </c>
      <c r="D296" s="306">
        <f t="shared" ca="1" si="124"/>
        <v>4.8122196593601645</v>
      </c>
      <c r="E296" s="307">
        <f t="shared" ca="1" si="125"/>
        <v>33.105671214904689</v>
      </c>
      <c r="F296" s="304">
        <f t="shared" ca="1" si="126"/>
        <v>33.45359359828629</v>
      </c>
      <c r="G296" s="306">
        <f t="shared" ca="1" si="127"/>
        <v>23.284081313734823</v>
      </c>
      <c r="H296" s="307">
        <f t="shared" ca="1" si="128"/>
        <v>207.55077077790014</v>
      </c>
      <c r="I296" s="304">
        <f t="shared" ca="1" si="129"/>
        <v>208.85274930707774</v>
      </c>
      <c r="J296" s="306">
        <f t="shared" ca="1" si="130"/>
        <v>36.702480064972796</v>
      </c>
      <c r="K296" s="307">
        <f t="shared" ca="1" si="131"/>
        <v>348.07889816644706</v>
      </c>
      <c r="L296" s="304">
        <f t="shared" ca="1" si="116"/>
        <v>350.00855902632946</v>
      </c>
      <c r="M296" s="306">
        <f t="shared" ca="1" si="132"/>
        <v>1.4590784474214089</v>
      </c>
      <c r="N296" s="304">
        <f t="shared" ca="1" si="133"/>
        <v>83.599037015747527</v>
      </c>
      <c r="P296" s="310">
        <f t="shared" ca="1" si="134"/>
        <v>7</v>
      </c>
      <c r="Q296" s="304">
        <f t="shared" ca="1" si="135"/>
        <v>428.23404255319525</v>
      </c>
      <c r="R296" s="306">
        <f t="shared" ca="1" si="136"/>
        <v>0.21491071379657237</v>
      </c>
      <c r="S296" s="307">
        <f t="shared" ca="1" si="137"/>
        <v>6.9214441255366399</v>
      </c>
      <c r="T296" s="304">
        <f t="shared" ca="1" si="117"/>
        <v>67.899366871514445</v>
      </c>
      <c r="U296" s="311">
        <f t="shared" ca="1" si="118"/>
        <v>0</v>
      </c>
      <c r="V296" s="306">
        <f t="shared" ca="1" si="119"/>
        <v>1.1830897388507453</v>
      </c>
      <c r="W296" s="304">
        <f t="shared" ca="1" si="120"/>
        <v>129.72222822392388</v>
      </c>
      <c r="Y296" s="314" t="str">
        <f t="shared" ca="1" si="138"/>
        <v/>
      </c>
      <c r="Z296" s="315" t="str">
        <f t="shared" ca="1" si="139"/>
        <v/>
      </c>
      <c r="AA296" s="316" t="str">
        <f t="shared" ca="1" si="140"/>
        <v/>
      </c>
      <c r="AC296" s="310" t="e">
        <f t="shared" ca="1" si="141"/>
        <v>#N/A</v>
      </c>
      <c r="AD296" s="323" t="e">
        <f t="shared" ca="1" si="142"/>
        <v>#N/A</v>
      </c>
      <c r="AE296" s="324">
        <f t="shared" ca="1" si="121"/>
        <v>348.07889816644706</v>
      </c>
      <c r="AG296" s="306">
        <f t="shared" ca="1" si="143"/>
        <v>33.435728159117616</v>
      </c>
      <c r="AH296" s="304">
        <f t="shared" ca="1" si="144"/>
        <v>43.184630296851353</v>
      </c>
    </row>
    <row r="297" spans="1:34" x14ac:dyDescent="0.2">
      <c r="A297" s="347">
        <f t="shared" ca="1" si="122"/>
        <v>0.01</v>
      </c>
      <c r="B297" s="304">
        <f t="shared" ca="1" si="123"/>
        <v>2.9299999999999815</v>
      </c>
      <c r="D297" s="306">
        <f t="shared" ca="1" si="124"/>
        <v>4.7767893537933039</v>
      </c>
      <c r="E297" s="307">
        <f t="shared" ca="1" si="125"/>
        <v>32.769576100288113</v>
      </c>
      <c r="F297" s="304">
        <f t="shared" ca="1" si="126"/>
        <v>33.115900022845324</v>
      </c>
      <c r="G297" s="306">
        <f t="shared" ca="1" si="127"/>
        <v>23.331849207272757</v>
      </c>
      <c r="H297" s="307">
        <f t="shared" ca="1" si="128"/>
        <v>207.87846653890301</v>
      </c>
      <c r="I297" s="304">
        <f t="shared" ca="1" si="129"/>
        <v>209.18372794745946</v>
      </c>
      <c r="J297" s="306">
        <f t="shared" ca="1" si="130"/>
        <v>36.935559717577831</v>
      </c>
      <c r="K297" s="307">
        <f t="shared" ca="1" si="131"/>
        <v>350.15604435303106</v>
      </c>
      <c r="L297" s="304">
        <f t="shared" ca="1" si="116"/>
        <v>352.09869492602871</v>
      </c>
      <c r="M297" s="306">
        <f t="shared" ca="1" si="132"/>
        <v>1.4590261644791569</v>
      </c>
      <c r="N297" s="304">
        <f t="shared" ca="1" si="133"/>
        <v>83.596041423815961</v>
      </c>
      <c r="P297" s="310">
        <f t="shared" ca="1" si="134"/>
        <v>7</v>
      </c>
      <c r="Q297" s="304">
        <f t="shared" ca="1" si="135"/>
        <v>426.19148936170592</v>
      </c>
      <c r="R297" s="306">
        <f t="shared" ca="1" si="136"/>
        <v>0.21388565151583155</v>
      </c>
      <c r="S297" s="307">
        <f t="shared" ca="1" si="137"/>
        <v>6.919305269021482</v>
      </c>
      <c r="T297" s="304">
        <f t="shared" ca="1" si="117"/>
        <v>67.878384689100741</v>
      </c>
      <c r="U297" s="311">
        <f t="shared" ca="1" si="118"/>
        <v>0</v>
      </c>
      <c r="V297" s="306">
        <f t="shared" ca="1" si="119"/>
        <v>1.1828439444496062</v>
      </c>
      <c r="W297" s="304">
        <f t="shared" ca="1" si="120"/>
        <v>130.10667157307537</v>
      </c>
      <c r="Y297" s="314" t="str">
        <f t="shared" ca="1" si="138"/>
        <v/>
      </c>
      <c r="Z297" s="315" t="str">
        <f t="shared" ca="1" si="139"/>
        <v/>
      </c>
      <c r="AA297" s="316" t="str">
        <f t="shared" ca="1" si="140"/>
        <v/>
      </c>
      <c r="AC297" s="310" t="e">
        <f t="shared" ca="1" si="141"/>
        <v>#N/A</v>
      </c>
      <c r="AD297" s="323" t="e">
        <f t="shared" ca="1" si="142"/>
        <v>#N/A</v>
      </c>
      <c r="AE297" s="324">
        <f t="shared" ca="1" si="121"/>
        <v>350.15604435303106</v>
      </c>
      <c r="AG297" s="306">
        <f t="shared" ca="1" si="143"/>
        <v>33.097835447923892</v>
      </c>
      <c r="AH297" s="304">
        <f t="shared" ca="1" si="144"/>
        <v>42.846680354617206</v>
      </c>
    </row>
    <row r="298" spans="1:34" x14ac:dyDescent="0.2">
      <c r="A298" s="347">
        <f t="shared" ca="1" si="122"/>
        <v>0.01</v>
      </c>
      <c r="B298" s="304">
        <f t="shared" ca="1" si="123"/>
        <v>2.9399999999999813</v>
      </c>
      <c r="D298" s="306">
        <f t="shared" ca="1" si="124"/>
        <v>4.7413515087277895</v>
      </c>
      <c r="E298" s="307">
        <f t="shared" ca="1" si="125"/>
        <v>32.433753257629391</v>
      </c>
      <c r="F298" s="304">
        <f t="shared" ca="1" si="126"/>
        <v>32.778480204336816</v>
      </c>
      <c r="G298" s="306">
        <f t="shared" ca="1" si="127"/>
        <v>23.379262722360036</v>
      </c>
      <c r="H298" s="307">
        <f t="shared" ca="1" si="128"/>
        <v>208.20280407147931</v>
      </c>
      <c r="I298" s="304">
        <f t="shared" ca="1" si="129"/>
        <v>209.51133035868952</v>
      </c>
      <c r="J298" s="306">
        <f t="shared" ca="1" si="130"/>
        <v>37.169115277225998</v>
      </c>
      <c r="K298" s="307">
        <f t="shared" ca="1" si="131"/>
        <v>352.23645070608296</v>
      </c>
      <c r="L298" s="304">
        <f t="shared" ca="1" si="116"/>
        <v>354.19212348174898</v>
      </c>
      <c r="M298" s="306">
        <f t="shared" ca="1" si="132"/>
        <v>1.4589739389612455</v>
      </c>
      <c r="N298" s="304">
        <f t="shared" ca="1" si="133"/>
        <v>83.593049122056755</v>
      </c>
      <c r="P298" s="310">
        <f t="shared" ca="1" si="134"/>
        <v>7</v>
      </c>
      <c r="Q298" s="304">
        <f t="shared" ca="1" si="135"/>
        <v>424.14893617021659</v>
      </c>
      <c r="R298" s="306">
        <f t="shared" ca="1" si="136"/>
        <v>0.21286058923509071</v>
      </c>
      <c r="S298" s="307">
        <f t="shared" ca="1" si="137"/>
        <v>6.9171766631291307</v>
      </c>
      <c r="T298" s="304">
        <f t="shared" ca="1" si="117"/>
        <v>67.857503065296783</v>
      </c>
      <c r="U298" s="311">
        <f t="shared" ca="1" si="118"/>
        <v>0</v>
      </c>
      <c r="V298" s="306">
        <f t="shared" ca="1" si="119"/>
        <v>1.1825978145536939</v>
      </c>
      <c r="W298" s="304">
        <f t="shared" ca="1" si="120"/>
        <v>130.4873526472534</v>
      </c>
      <c r="Y298" s="314" t="str">
        <f t="shared" ca="1" si="138"/>
        <v/>
      </c>
      <c r="Z298" s="315" t="str">
        <f t="shared" ca="1" si="139"/>
        <v/>
      </c>
      <c r="AA298" s="316" t="str">
        <f t="shared" ca="1" si="140"/>
        <v/>
      </c>
      <c r="AC298" s="310" t="e">
        <f t="shared" ca="1" si="141"/>
        <v>#N/A</v>
      </c>
      <c r="AD298" s="323" t="e">
        <f t="shared" ca="1" si="142"/>
        <v>#N/A</v>
      </c>
      <c r="AE298" s="324">
        <f t="shared" ca="1" si="121"/>
        <v>352.23645070608296</v>
      </c>
      <c r="AG298" s="306">
        <f t="shared" ca="1" si="143"/>
        <v>32.760212550847641</v>
      </c>
      <c r="AH298" s="304">
        <f t="shared" ca="1" si="144"/>
        <v>42.509000263718143</v>
      </c>
    </row>
    <row r="299" spans="1:34" x14ac:dyDescent="0.2">
      <c r="A299" s="347">
        <f t="shared" ca="1" si="122"/>
        <v>0.01</v>
      </c>
      <c r="B299" s="304">
        <f t="shared" ca="1" si="123"/>
        <v>2.9499999999999811</v>
      </c>
      <c r="D299" s="306">
        <f t="shared" ca="1" si="124"/>
        <v>4.7059066929349855</v>
      </c>
      <c r="E299" s="307">
        <f t="shared" ca="1" si="125"/>
        <v>32.09820646498558</v>
      </c>
      <c r="F299" s="304">
        <f t="shared" ca="1" si="126"/>
        <v>32.441338074614805</v>
      </c>
      <c r="G299" s="306">
        <f t="shared" ca="1" si="127"/>
        <v>23.426321789289386</v>
      </c>
      <c r="H299" s="307">
        <f t="shared" ca="1" si="128"/>
        <v>208.52378613612916</v>
      </c>
      <c r="I299" s="304">
        <f t="shared" ca="1" si="129"/>
        <v>209.8355592770717</v>
      </c>
      <c r="J299" s="306">
        <f t="shared" ca="1" si="130"/>
        <v>37.403143199784246</v>
      </c>
      <c r="K299" s="307">
        <f t="shared" ca="1" si="131"/>
        <v>354.32008365712102</v>
      </c>
      <c r="L299" s="304">
        <f t="shared" ca="1" si="116"/>
        <v>356.28881094417324</v>
      </c>
      <c r="M299" s="306">
        <f t="shared" ca="1" si="132"/>
        <v>1.458921769876492</v>
      </c>
      <c r="N299" s="304">
        <f t="shared" ca="1" si="133"/>
        <v>83.590060053679309</v>
      </c>
      <c r="P299" s="310">
        <f t="shared" ca="1" si="134"/>
        <v>7</v>
      </c>
      <c r="Q299" s="304">
        <f t="shared" ca="1" si="135"/>
        <v>422.10638297872731</v>
      </c>
      <c r="R299" s="306">
        <f t="shared" ca="1" si="136"/>
        <v>0.21183552695434993</v>
      </c>
      <c r="S299" s="307">
        <f t="shared" ca="1" si="137"/>
        <v>6.9150583078595869</v>
      </c>
      <c r="T299" s="304">
        <f t="shared" ca="1" si="117"/>
        <v>67.836722000102554</v>
      </c>
      <c r="U299" s="311">
        <f t="shared" ca="1" si="118"/>
        <v>0</v>
      </c>
      <c r="V299" s="306">
        <f t="shared" ca="1" si="119"/>
        <v>1.1823513533543701</v>
      </c>
      <c r="W299" s="304">
        <f t="shared" ca="1" si="120"/>
        <v>130.86425747163671</v>
      </c>
      <c r="Y299" s="314" t="str">
        <f t="shared" ca="1" si="138"/>
        <v/>
      </c>
      <c r="Z299" s="315" t="str">
        <f t="shared" ca="1" si="139"/>
        <v/>
      </c>
      <c r="AA299" s="316" t="str">
        <f t="shared" ca="1" si="140"/>
        <v/>
      </c>
      <c r="AC299" s="310" t="e">
        <f t="shared" ca="1" si="141"/>
        <v>#N/A</v>
      </c>
      <c r="AD299" s="323" t="e">
        <f t="shared" ca="1" si="142"/>
        <v>#N/A</v>
      </c>
      <c r="AE299" s="324">
        <f t="shared" ca="1" si="121"/>
        <v>354.32008365712102</v>
      </c>
      <c r="AG299" s="306">
        <f t="shared" ca="1" si="143"/>
        <v>32.422863283654308</v>
      </c>
      <c r="AH299" s="304">
        <f t="shared" ca="1" si="144"/>
        <v>42.171593838915662</v>
      </c>
    </row>
    <row r="300" spans="1:34" x14ac:dyDescent="0.2">
      <c r="A300" s="347">
        <f t="shared" ca="1" si="122"/>
        <v>0.01</v>
      </c>
      <c r="B300" s="304">
        <f t="shared" ca="1" si="123"/>
        <v>2.9599999999999809</v>
      </c>
      <c r="D300" s="306">
        <f t="shared" ca="1" si="124"/>
        <v>4.670455469679041</v>
      </c>
      <c r="E300" s="307">
        <f t="shared" ca="1" si="125"/>
        <v>31.762939460045267</v>
      </c>
      <c r="F300" s="304">
        <f t="shared" ca="1" si="126"/>
        <v>32.104477529415668</v>
      </c>
      <c r="G300" s="306">
        <f t="shared" ca="1" si="127"/>
        <v>23.473026343986177</v>
      </c>
      <c r="H300" s="307">
        <f t="shared" ca="1" si="128"/>
        <v>208.84141553072962</v>
      </c>
      <c r="I300" s="304">
        <f t="shared" ca="1" si="129"/>
        <v>210.15641747666032</v>
      </c>
      <c r="J300" s="306">
        <f t="shared" ca="1" si="130"/>
        <v>37.637639940450626</v>
      </c>
      <c r="K300" s="307">
        <f t="shared" ca="1" si="131"/>
        <v>356.40690966545532</v>
      </c>
      <c r="L300" s="304">
        <f t="shared" ca="1" si="116"/>
        <v>358.38872359153129</v>
      </c>
      <c r="M300" s="306">
        <f t="shared" ca="1" si="132"/>
        <v>1.4588696562412466</v>
      </c>
      <c r="N300" s="304">
        <f t="shared" ca="1" si="133"/>
        <v>83.587074162324669</v>
      </c>
      <c r="P300" s="310">
        <f t="shared" ca="1" si="134"/>
        <v>7</v>
      </c>
      <c r="Q300" s="304">
        <f t="shared" ca="1" si="135"/>
        <v>420.06382978723798</v>
      </c>
      <c r="R300" s="306">
        <f t="shared" ca="1" si="136"/>
        <v>0.21081046467360912</v>
      </c>
      <c r="S300" s="307">
        <f t="shared" ca="1" si="137"/>
        <v>6.9129502032128505</v>
      </c>
      <c r="T300" s="304">
        <f t="shared" ca="1" si="117"/>
        <v>67.816041493518071</v>
      </c>
      <c r="U300" s="311">
        <f t="shared" ca="1" si="118"/>
        <v>0</v>
      </c>
      <c r="V300" s="306">
        <f t="shared" ca="1" si="119"/>
        <v>1.1821045650366833</v>
      </c>
      <c r="W300" s="304">
        <f t="shared" ca="1" si="120"/>
        <v>131.23737236730005</v>
      </c>
      <c r="Y300" s="314" t="str">
        <f t="shared" ca="1" si="138"/>
        <v/>
      </c>
      <c r="Z300" s="315" t="str">
        <f t="shared" ca="1" si="139"/>
        <v/>
      </c>
      <c r="AA300" s="316" t="str">
        <f t="shared" ca="1" si="140"/>
        <v/>
      </c>
      <c r="AC300" s="310" t="e">
        <f t="shared" ca="1" si="141"/>
        <v>#N/A</v>
      </c>
      <c r="AD300" s="323" t="e">
        <f t="shared" ca="1" si="142"/>
        <v>#N/A</v>
      </c>
      <c r="AE300" s="324">
        <f t="shared" ca="1" si="121"/>
        <v>356.40690966545532</v>
      </c>
      <c r="AG300" s="306">
        <f t="shared" ca="1" si="143"/>
        <v>32.085791421398127</v>
      </c>
      <c r="AH300" s="304">
        <f t="shared" ca="1" si="144"/>
        <v>41.834464854266322</v>
      </c>
    </row>
    <row r="301" spans="1:34" x14ac:dyDescent="0.2">
      <c r="A301" s="347">
        <f t="shared" ca="1" si="122"/>
        <v>0.01</v>
      </c>
      <c r="B301" s="304">
        <f t="shared" ca="1" si="123"/>
        <v>2.9699999999999807</v>
      </c>
      <c r="D301" s="306">
        <f t="shared" ca="1" si="124"/>
        <v>4.6349983967292872</v>
      </c>
      <c r="E301" s="307">
        <f t="shared" ca="1" si="125"/>
        <v>31.427955940163777</v>
      </c>
      <c r="F301" s="304">
        <f t="shared" ca="1" si="126"/>
        <v>31.767902428623749</v>
      </c>
      <c r="G301" s="306">
        <f t="shared" ca="1" si="127"/>
        <v>23.51937632795347</v>
      </c>
      <c r="H301" s="307">
        <f t="shared" ca="1" si="128"/>
        <v>209.15569509013125</v>
      </c>
      <c r="I301" s="304">
        <f t="shared" ca="1" si="129"/>
        <v>210.47390776885351</v>
      </c>
      <c r="J301" s="306">
        <f t="shared" ca="1" si="130"/>
        <v>37.872601953810324</v>
      </c>
      <c r="K301" s="307">
        <f t="shared" ca="1" si="131"/>
        <v>358.49689521855964</v>
      </c>
      <c r="L301" s="304">
        <f t="shared" ca="1" si="116"/>
        <v>360.49182772997602</v>
      </c>
      <c r="M301" s="306">
        <f t="shared" ca="1" si="132"/>
        <v>1.4588175970792621</v>
      </c>
      <c r="N301" s="304">
        <f t="shared" ca="1" si="133"/>
        <v>83.584091392057971</v>
      </c>
      <c r="P301" s="310">
        <f t="shared" ca="1" si="134"/>
        <v>7</v>
      </c>
      <c r="Q301" s="304">
        <f t="shared" ca="1" si="135"/>
        <v>418.02127659574865</v>
      </c>
      <c r="R301" s="306">
        <f t="shared" ca="1" si="136"/>
        <v>0.2097854023928683</v>
      </c>
      <c r="S301" s="307">
        <f t="shared" ca="1" si="137"/>
        <v>6.9108523491889216</v>
      </c>
      <c r="T301" s="304">
        <f t="shared" ca="1" si="117"/>
        <v>67.795461545543318</v>
      </c>
      <c r="U301" s="311">
        <f t="shared" ca="1" si="118"/>
        <v>0</v>
      </c>
      <c r="V301" s="306">
        <f t="shared" ca="1" si="119"/>
        <v>1.1818574537793234</v>
      </c>
      <c r="W301" s="304">
        <f t="shared" ca="1" si="120"/>
        <v>131.60668395013244</v>
      </c>
      <c r="Y301" s="314" t="str">
        <f t="shared" ca="1" si="138"/>
        <v/>
      </c>
      <c r="Z301" s="315" t="str">
        <f t="shared" ca="1" si="139"/>
        <v/>
      </c>
      <c r="AA301" s="316" t="str">
        <f t="shared" ca="1" si="140"/>
        <v/>
      </c>
      <c r="AC301" s="310" t="e">
        <f t="shared" ca="1" si="141"/>
        <v>#N/A</v>
      </c>
      <c r="AD301" s="323" t="e">
        <f t="shared" ca="1" si="142"/>
        <v>#N/A</v>
      </c>
      <c r="AE301" s="324">
        <f t="shared" ca="1" si="121"/>
        <v>358.49689521855964</v>
      </c>
      <c r="AG301" s="306">
        <f t="shared" ca="1" si="143"/>
        <v>31.749000698458218</v>
      </c>
      <c r="AH301" s="304">
        <f t="shared" ca="1" si="144"/>
        <v>41.497617043157696</v>
      </c>
    </row>
    <row r="302" spans="1:34" x14ac:dyDescent="0.2">
      <c r="A302" s="347">
        <f t="shared" ca="1" si="122"/>
        <v>0.01</v>
      </c>
      <c r="B302" s="304">
        <f t="shared" ca="1" si="123"/>
        <v>2.9799999999999804</v>
      </c>
      <c r="D302" s="306">
        <f t="shared" ca="1" si="124"/>
        <v>4.5485337298448263</v>
      </c>
      <c r="E302" s="307">
        <f t="shared" ca="1" si="125"/>
        <v>30.639700733598595</v>
      </c>
      <c r="F302" s="304">
        <f t="shared" ca="1" si="126"/>
        <v>30.975480950842691</v>
      </c>
      <c r="G302" s="306">
        <f t="shared" ca="1" si="127"/>
        <v>23.564861665251918</v>
      </c>
      <c r="H302" s="307">
        <f t="shared" ca="1" si="128"/>
        <v>209.46209209746723</v>
      </c>
      <c r="I302" s="304">
        <f t="shared" ca="1" si="129"/>
        <v>210.78346882796646</v>
      </c>
      <c r="J302" s="306">
        <f t="shared" ca="1" si="130"/>
        <v>38.10802314377635</v>
      </c>
      <c r="K302" s="307">
        <f t="shared" ca="1" si="131"/>
        <v>360.58998415449764</v>
      </c>
      <c r="L302" s="304">
        <f t="shared" ca="1" si="116"/>
        <v>362.59806687359412</v>
      </c>
      <c r="M302" s="306">
        <f t="shared" ca="1" si="132"/>
        <v>1.4587655902954659</v>
      </c>
      <c r="N302" s="304">
        <f t="shared" ca="1" si="133"/>
        <v>83.581111622840396</v>
      </c>
      <c r="P302" s="310">
        <f t="shared" ca="1" si="134"/>
        <v>8</v>
      </c>
      <c r="Q302" s="304">
        <f t="shared" ca="1" si="135"/>
        <v>412.82608695653812</v>
      </c>
      <c r="R302" s="306">
        <f t="shared" ca="1" si="136"/>
        <v>0.20717817876577282</v>
      </c>
      <c r="S302" s="307">
        <f t="shared" ca="1" si="137"/>
        <v>6.9087805674012639</v>
      </c>
      <c r="T302" s="304">
        <f t="shared" ca="1" si="117"/>
        <v>67.775137366206408</v>
      </c>
      <c r="U302" s="311">
        <f t="shared" ca="1" si="118"/>
        <v>0</v>
      </c>
      <c r="V302" s="306">
        <f t="shared" ca="1" si="119"/>
        <v>1.1816100264350862</v>
      </c>
      <c r="W302" s="304">
        <f t="shared" ca="1" si="120"/>
        <v>131.96646432790916</v>
      </c>
      <c r="Y302" s="314" t="str">
        <f t="shared" ca="1" si="138"/>
        <v/>
      </c>
      <c r="Z302" s="315" t="str">
        <f t="shared" ca="1" si="139"/>
        <v/>
      </c>
      <c r="AA302" s="316" t="str">
        <f t="shared" ca="1" si="140"/>
        <v/>
      </c>
      <c r="AC302" s="310" t="e">
        <f t="shared" ca="1" si="141"/>
        <v>#N/A</v>
      </c>
      <c r="AD302" s="323" t="e">
        <f t="shared" ca="1" si="142"/>
        <v>#N/A</v>
      </c>
      <c r="AE302" s="324">
        <f t="shared" ca="1" si="121"/>
        <v>360.58998415449764</v>
      </c>
      <c r="AG302" s="306">
        <f t="shared" ca="1" si="143"/>
        <v>30.956077405933932</v>
      </c>
      <c r="AH302" s="304">
        <f t="shared" ca="1" si="144"/>
        <v>40.704636695703634</v>
      </c>
    </row>
    <row r="303" spans="1:34" x14ac:dyDescent="0.2">
      <c r="A303" s="347">
        <f t="shared" ca="1" si="122"/>
        <v>0.01</v>
      </c>
      <c r="B303" s="304">
        <f t="shared" ca="1" si="123"/>
        <v>2.9899999999999802</v>
      </c>
      <c r="D303" s="306">
        <f t="shared" ca="1" si="124"/>
        <v>4.4110286141558657</v>
      </c>
      <c r="E303" s="307">
        <f t="shared" ca="1" si="125"/>
        <v>29.398517111106184</v>
      </c>
      <c r="F303" s="304">
        <f t="shared" ca="1" si="126"/>
        <v>29.727596299850831</v>
      </c>
      <c r="G303" s="306">
        <f t="shared" ca="1" si="127"/>
        <v>23.608971951393478</v>
      </c>
      <c r="H303" s="307">
        <f t="shared" ca="1" si="128"/>
        <v>209.75607726857831</v>
      </c>
      <c r="I303" s="304">
        <f t="shared" ca="1" si="129"/>
        <v>211.08054270278794</v>
      </c>
      <c r="J303" s="306">
        <f t="shared" ca="1" si="130"/>
        <v>38.343892311859577</v>
      </c>
      <c r="K303" s="307">
        <f t="shared" ca="1" si="131"/>
        <v>362.68607500132788</v>
      </c>
      <c r="L303" s="304">
        <f t="shared" ca="1" si="116"/>
        <v>364.70733894109168</v>
      </c>
      <c r="M303" s="306">
        <f t="shared" ca="1" si="132"/>
        <v>1.4587136326870189</v>
      </c>
      <c r="N303" s="304">
        <f t="shared" ca="1" si="133"/>
        <v>83.578134671162786</v>
      </c>
      <c r="P303" s="310">
        <f t="shared" ca="1" si="134"/>
        <v>8</v>
      </c>
      <c r="Q303" s="304">
        <f t="shared" ca="1" si="135"/>
        <v>404.47826086958179</v>
      </c>
      <c r="R303" s="306">
        <f t="shared" ca="1" si="136"/>
        <v>0.20298879379231038</v>
      </c>
      <c r="S303" s="307">
        <f t="shared" ca="1" si="137"/>
        <v>6.9067506794633404</v>
      </c>
      <c r="T303" s="304">
        <f t="shared" ca="1" si="117"/>
        <v>67.755224165535367</v>
      </c>
      <c r="U303" s="311">
        <f t="shared" ca="1" si="118"/>
        <v>0</v>
      </c>
      <c r="V303" s="306">
        <f t="shared" ca="1" si="119"/>
        <v>1.181362295206027</v>
      </c>
      <c r="W303" s="304">
        <f t="shared" ca="1" si="120"/>
        <v>132.31096252805403</v>
      </c>
      <c r="Y303" s="314" t="str">
        <f t="shared" ca="1" si="138"/>
        <v/>
      </c>
      <c r="Z303" s="315" t="str">
        <f t="shared" ca="1" si="139"/>
        <v/>
      </c>
      <c r="AA303" s="316" t="str">
        <f t="shared" ca="1" si="140"/>
        <v/>
      </c>
      <c r="AC303" s="310" t="e">
        <f t="shared" ca="1" si="141"/>
        <v>#N/A</v>
      </c>
      <c r="AD303" s="323" t="e">
        <f t="shared" ca="1" si="142"/>
        <v>#N/A</v>
      </c>
      <c r="AE303" s="324">
        <f t="shared" ca="1" si="121"/>
        <v>362.68607500132788</v>
      </c>
      <c r="AG303" s="306">
        <f t="shared" ca="1" si="143"/>
        <v>29.70735899056772</v>
      </c>
      <c r="AH303" s="304">
        <f t="shared" ca="1" si="144"/>
        <v>39.455861256431952</v>
      </c>
    </row>
    <row r="304" spans="1:34" x14ac:dyDescent="0.2">
      <c r="A304" s="347">
        <f t="shared" ca="1" si="122"/>
        <v>0.01</v>
      </c>
      <c r="B304" s="304">
        <f t="shared" ca="1" si="123"/>
        <v>2.99999999999998</v>
      </c>
      <c r="D304" s="306">
        <f t="shared" ca="1" si="124"/>
        <v>4.2735320438976077</v>
      </c>
      <c r="E304" s="307">
        <f t="shared" ca="1" si="125"/>
        <v>28.158587512198856</v>
      </c>
      <c r="F304" s="304">
        <f t="shared" ca="1" si="126"/>
        <v>28.481030999814266</v>
      </c>
      <c r="G304" s="306">
        <f t="shared" ca="1" si="127"/>
        <v>23.651707271832453</v>
      </c>
      <c r="H304" s="307">
        <f t="shared" ca="1" si="128"/>
        <v>210.03766314370029</v>
      </c>
      <c r="I304" s="304">
        <f t="shared" ca="1" si="129"/>
        <v>211.36514186530135</v>
      </c>
      <c r="J304" s="306">
        <f t="shared" ca="1" si="130"/>
        <v>38.580195707975705</v>
      </c>
      <c r="K304" s="307">
        <f t="shared" ca="1" si="131"/>
        <v>364.78504370338925</v>
      </c>
      <c r="L304" s="304">
        <f t="shared" ca="1" si="116"/>
        <v>366.8195191242545</v>
      </c>
      <c r="M304" s="306">
        <f t="shared" ca="1" si="132"/>
        <v>1.4586617210748889</v>
      </c>
      <c r="N304" s="304">
        <f t="shared" ca="1" si="133"/>
        <v>83.575160354880026</v>
      </c>
      <c r="P304" s="310">
        <f t="shared" ca="1" si="134"/>
        <v>8</v>
      </c>
      <c r="Q304" s="304">
        <f t="shared" ca="1" si="135"/>
        <v>396.13043478262546</v>
      </c>
      <c r="R304" s="306">
        <f t="shared" ca="1" si="136"/>
        <v>0.19879940881884794</v>
      </c>
      <c r="S304" s="307">
        <f t="shared" ca="1" si="137"/>
        <v>6.904762685375152</v>
      </c>
      <c r="T304" s="304">
        <f t="shared" ca="1" si="117"/>
        <v>67.735721943530251</v>
      </c>
      <c r="U304" s="311">
        <f t="shared" ca="1" si="118"/>
        <v>0</v>
      </c>
      <c r="V304" s="306">
        <f t="shared" ca="1" si="119"/>
        <v>1.1811142749527999</v>
      </c>
      <c r="W304" s="304">
        <f t="shared" ca="1" si="120"/>
        <v>132.64013899330908</v>
      </c>
      <c r="Y304" s="314" t="str">
        <f t="shared" ca="1" si="138"/>
        <v/>
      </c>
      <c r="Z304" s="315" t="str">
        <f t="shared" ca="1" si="139"/>
        <v/>
      </c>
      <c r="AA304" s="316" t="str">
        <f t="shared" ca="1" si="140"/>
        <v/>
      </c>
      <c r="AC304" s="310">
        <f t="shared" ca="1" si="141"/>
        <v>2.99999999999998</v>
      </c>
      <c r="AD304" s="323">
        <f t="shared" ca="1" si="142"/>
        <v>38.580195707975705</v>
      </c>
      <c r="AE304" s="324">
        <f t="shared" ca="1" si="121"/>
        <v>364.78504370338925</v>
      </c>
      <c r="AG304" s="306">
        <f t="shared" ca="1" si="143"/>
        <v>28.45988777184067</v>
      </c>
      <c r="AH304" s="304">
        <f t="shared" ca="1" si="144"/>
        <v>38.208333041389317</v>
      </c>
    </row>
    <row r="305" spans="1:34" x14ac:dyDescent="0.2">
      <c r="A305" s="347">
        <f t="shared" ca="1" si="122"/>
        <v>0.01</v>
      </c>
      <c r="B305" s="304">
        <f t="shared" ca="1" si="123"/>
        <v>3.0099999999999798</v>
      </c>
      <c r="D305" s="306">
        <f t="shared" ca="1" si="124"/>
        <v>4.1360478166080803</v>
      </c>
      <c r="E305" s="307">
        <f t="shared" ca="1" si="125"/>
        <v>26.919941228621454</v>
      </c>
      <c r="F305" s="304">
        <f t="shared" ca="1" si="126"/>
        <v>27.235824336592085</v>
      </c>
      <c r="G305" s="306">
        <f t="shared" ca="1" si="127"/>
        <v>23.693067749998534</v>
      </c>
      <c r="H305" s="307">
        <f t="shared" ca="1" si="128"/>
        <v>210.3068625559865</v>
      </c>
      <c r="I305" s="304">
        <f t="shared" ca="1" si="129"/>
        <v>211.6372790827472</v>
      </c>
      <c r="J305" s="306">
        <f t="shared" ca="1" si="130"/>
        <v>38.816919583084861</v>
      </c>
      <c r="K305" s="307">
        <f t="shared" ca="1" si="131"/>
        <v>366.88676633188766</v>
      </c>
      <c r="L305" s="304">
        <f t="shared" ca="1" si="116"/>
        <v>368.93448274102656</v>
      </c>
      <c r="M305" s="306">
        <f t="shared" ca="1" si="132"/>
        <v>1.458609852302666</v>
      </c>
      <c r="N305" s="304">
        <f t="shared" ca="1" si="133"/>
        <v>83.57218849314313</v>
      </c>
      <c r="P305" s="310">
        <f t="shared" ca="1" si="134"/>
        <v>8</v>
      </c>
      <c r="Q305" s="304">
        <f t="shared" ca="1" si="135"/>
        <v>387.78260869566913</v>
      </c>
      <c r="R305" s="306">
        <f t="shared" ca="1" si="136"/>
        <v>0.1946100238453855</v>
      </c>
      <c r="S305" s="307">
        <f t="shared" ca="1" si="137"/>
        <v>6.9028165851366978</v>
      </c>
      <c r="T305" s="304">
        <f t="shared" ca="1" si="117"/>
        <v>67.716630700191004</v>
      </c>
      <c r="U305" s="311">
        <f t="shared" ca="1" si="118"/>
        <v>0</v>
      </c>
      <c r="V305" s="306">
        <f t="shared" ca="1" si="119"/>
        <v>1.180865980509155</v>
      </c>
      <c r="W305" s="304">
        <f t="shared" ca="1" si="120"/>
        <v>132.95395747498463</v>
      </c>
      <c r="Y305" s="314" t="str">
        <f t="shared" ca="1" si="138"/>
        <v/>
      </c>
      <c r="Z305" s="315" t="str">
        <f t="shared" ca="1" si="139"/>
        <v/>
      </c>
      <c r="AA305" s="316" t="str">
        <f t="shared" ca="1" si="140"/>
        <v/>
      </c>
      <c r="AC305" s="310" t="e">
        <f t="shared" ca="1" si="141"/>
        <v>#N/A</v>
      </c>
      <c r="AD305" s="323" t="e">
        <f t="shared" ca="1" si="142"/>
        <v>#N/A</v>
      </c>
      <c r="AE305" s="324">
        <f t="shared" ca="1" si="121"/>
        <v>366.88676633188766</v>
      </c>
      <c r="AG305" s="306">
        <f t="shared" ca="1" si="143"/>
        <v>27.213693275458667</v>
      </c>
      <c r="AH305" s="304">
        <f t="shared" ca="1" si="144"/>
        <v>36.962081572866737</v>
      </c>
    </row>
    <row r="306" spans="1:34" x14ac:dyDescent="0.2">
      <c r="A306" s="347">
        <f t="shared" ca="1" si="122"/>
        <v>0.01</v>
      </c>
      <c r="B306" s="304">
        <f t="shared" ca="1" si="123"/>
        <v>3.0199999999999796</v>
      </c>
      <c r="D306" s="306">
        <f t="shared" ca="1" si="124"/>
        <v>3.9985796638904763</v>
      </c>
      <c r="E306" s="307">
        <f t="shared" ca="1" si="125"/>
        <v>25.682607064065373</v>
      </c>
      <c r="F306" s="304">
        <f t="shared" ca="1" si="126"/>
        <v>25.992016946279083</v>
      </c>
      <c r="G306" s="306">
        <f t="shared" ca="1" si="127"/>
        <v>23.733053546637439</v>
      </c>
      <c r="H306" s="307">
        <f t="shared" ca="1" si="128"/>
        <v>210.56368862662714</v>
      </c>
      <c r="I306" s="304">
        <f t="shared" ca="1" si="129"/>
        <v>211.89696741269978</v>
      </c>
      <c r="J306" s="306">
        <f t="shared" ca="1" si="130"/>
        <v>39.054050189568038</v>
      </c>
      <c r="K306" s="307">
        <f t="shared" ca="1" si="131"/>
        <v>368.99111908780071</v>
      </c>
      <c r="L306" s="304">
        <f t="shared" ca="1" si="116"/>
        <v>371.05210523843795</v>
      </c>
      <c r="M306" s="306">
        <f t="shared" ca="1" si="132"/>
        <v>1.4585580232354014</v>
      </c>
      <c r="N306" s="304">
        <f t="shared" ca="1" si="133"/>
        <v>83.569218906332765</v>
      </c>
      <c r="P306" s="310">
        <f t="shared" ca="1" si="134"/>
        <v>8</v>
      </c>
      <c r="Q306" s="304">
        <f t="shared" ca="1" si="135"/>
        <v>379.43478260871274</v>
      </c>
      <c r="R306" s="306">
        <f t="shared" ca="1" si="136"/>
        <v>0.19042063887192304</v>
      </c>
      <c r="S306" s="307">
        <f t="shared" ca="1" si="137"/>
        <v>6.9009123787479787</v>
      </c>
      <c r="T306" s="304">
        <f t="shared" ca="1" si="117"/>
        <v>67.697950435517669</v>
      </c>
      <c r="U306" s="311">
        <f t="shared" ca="1" si="118"/>
        <v>0</v>
      </c>
      <c r="V306" s="306">
        <f t="shared" ca="1" si="119"/>
        <v>1.1806174266815823</v>
      </c>
      <c r="W306" s="304">
        <f t="shared" ca="1" si="120"/>
        <v>133.25238501455044</v>
      </c>
      <c r="Y306" s="314" t="str">
        <f t="shared" ca="1" si="138"/>
        <v/>
      </c>
      <c r="Z306" s="315" t="str">
        <f t="shared" ca="1" si="139"/>
        <v/>
      </c>
      <c r="AA306" s="316" t="str">
        <f t="shared" ca="1" si="140"/>
        <v/>
      </c>
      <c r="AC306" s="310" t="e">
        <f t="shared" ca="1" si="141"/>
        <v>#N/A</v>
      </c>
      <c r="AD306" s="323" t="e">
        <f t="shared" ca="1" si="142"/>
        <v>#N/A</v>
      </c>
      <c r="AE306" s="324">
        <f t="shared" ca="1" si="121"/>
        <v>368.99111908780071</v>
      </c>
      <c r="AG306" s="306">
        <f t="shared" ca="1" si="143"/>
        <v>25.968804534825281</v>
      </c>
      <c r="AH306" s="304">
        <f t="shared" ca="1" si="144"/>
        <v>35.717135880871268</v>
      </c>
    </row>
    <row r="307" spans="1:34" x14ac:dyDescent="0.2">
      <c r="A307" s="347">
        <f t="shared" ca="1" si="122"/>
        <v>0.01</v>
      </c>
      <c r="B307" s="304">
        <f t="shared" ca="1" si="123"/>
        <v>3.0299999999999794</v>
      </c>
      <c r="D307" s="306">
        <f t="shared" ca="1" si="124"/>
        <v>3.8611312515177834</v>
      </c>
      <c r="E307" s="307">
        <f t="shared" ca="1" si="125"/>
        <v>24.446613334373026</v>
      </c>
      <c r="F307" s="304">
        <f t="shared" ca="1" si="126"/>
        <v>24.749651271518804</v>
      </c>
      <c r="G307" s="306">
        <f t="shared" ca="1" si="127"/>
        <v>23.771664859152619</v>
      </c>
      <c r="H307" s="307">
        <f t="shared" ca="1" si="128"/>
        <v>210.80815475997088</v>
      </c>
      <c r="I307" s="304">
        <f t="shared" ca="1" si="129"/>
        <v>212.1442201981466</v>
      </c>
      <c r="J307" s="306">
        <f t="shared" ca="1" si="130"/>
        <v>39.291573781596988</v>
      </c>
      <c r="K307" s="307">
        <f t="shared" ca="1" si="131"/>
        <v>371.09797830473372</v>
      </c>
      <c r="L307" s="304">
        <f t="shared" ca="1" si="116"/>
        <v>373.17226219548428</v>
      </c>
      <c r="M307" s="306">
        <f t="shared" ca="1" si="132"/>
        <v>1.458506230758466</v>
      </c>
      <c r="N307" s="304">
        <f t="shared" ca="1" si="133"/>
        <v>83.566251415993833</v>
      </c>
      <c r="P307" s="310">
        <f t="shared" ca="1" si="134"/>
        <v>8</v>
      </c>
      <c r="Q307" s="304">
        <f t="shared" ca="1" si="135"/>
        <v>371.08695652175641</v>
      </c>
      <c r="R307" s="306">
        <f t="shared" ca="1" si="136"/>
        <v>0.1862312538984606</v>
      </c>
      <c r="S307" s="307">
        <f t="shared" ca="1" si="137"/>
        <v>6.8990500662089937</v>
      </c>
      <c r="T307" s="304">
        <f t="shared" ca="1" si="117"/>
        <v>67.67968114951023</v>
      </c>
      <c r="U307" s="311">
        <f t="shared" ca="1" si="118"/>
        <v>0</v>
      </c>
      <c r="V307" s="306">
        <f t="shared" ca="1" si="119"/>
        <v>1.1803686282489592</v>
      </c>
      <c r="W307" s="304">
        <f t="shared" ca="1" si="120"/>
        <v>133.53539192486798</v>
      </c>
      <c r="Y307" s="314" t="str">
        <f t="shared" ca="1" si="138"/>
        <v/>
      </c>
      <c r="Z307" s="315" t="str">
        <f t="shared" ca="1" si="139"/>
        <v/>
      </c>
      <c r="AA307" s="316" t="str">
        <f t="shared" ca="1" si="140"/>
        <v/>
      </c>
      <c r="AC307" s="310" t="e">
        <f t="shared" ca="1" si="141"/>
        <v>#N/A</v>
      </c>
      <c r="AD307" s="323" t="e">
        <f t="shared" ca="1" si="142"/>
        <v>#N/A</v>
      </c>
      <c r="AE307" s="324">
        <f t="shared" ca="1" si="121"/>
        <v>371.09797830473372</v>
      </c>
      <c r="AG307" s="306">
        <f t="shared" ca="1" si="143"/>
        <v>24.725250091254182</v>
      </c>
      <c r="AH307" s="304">
        <f t="shared" ca="1" si="144"/>
        <v>34.47352450333721</v>
      </c>
    </row>
    <row r="308" spans="1:34" x14ac:dyDescent="0.2">
      <c r="A308" s="347">
        <f t="shared" ca="1" si="122"/>
        <v>0.01</v>
      </c>
      <c r="B308" s="304">
        <f t="shared" ca="1" si="123"/>
        <v>3.0399999999999792</v>
      </c>
      <c r="D308" s="306">
        <f t="shared" ca="1" si="124"/>
        <v>3.7237061795407604</v>
      </c>
      <c r="E308" s="307">
        <f t="shared" ca="1" si="125"/>
        <v>23.211987867839689</v>
      </c>
      <c r="F308" s="304">
        <f t="shared" ca="1" si="126"/>
        <v>23.508772160372114</v>
      </c>
      <c r="G308" s="306">
        <f t="shared" ca="1" si="127"/>
        <v>23.808901920948028</v>
      </c>
      <c r="H308" s="307">
        <f t="shared" ca="1" si="128"/>
        <v>211.04027463864927</v>
      </c>
      <c r="I308" s="304">
        <f t="shared" ca="1" si="129"/>
        <v>212.37905106257026</v>
      </c>
      <c r="J308" s="306">
        <f t="shared" ca="1" si="130"/>
        <v>39.529476615497494</v>
      </c>
      <c r="K308" s="307">
        <f t="shared" ca="1" si="131"/>
        <v>373.20722045172681</v>
      </c>
      <c r="L308" s="304">
        <f t="shared" ca="1" si="116"/>
        <v>375.2948293259567</v>
      </c>
      <c r="M308" s="306">
        <f t="shared" ca="1" si="132"/>
        <v>1.4584544717764256</v>
      </c>
      <c r="N308" s="304">
        <f t="shared" ca="1" si="133"/>
        <v>83.56328584477103</v>
      </c>
      <c r="P308" s="310">
        <f t="shared" ca="1" si="134"/>
        <v>8</v>
      </c>
      <c r="Q308" s="304">
        <f t="shared" ca="1" si="135"/>
        <v>362.73913043480007</v>
      </c>
      <c r="R308" s="306">
        <f t="shared" ca="1" si="136"/>
        <v>0.18204186892499816</v>
      </c>
      <c r="S308" s="307">
        <f t="shared" ca="1" si="137"/>
        <v>6.8972296475197439</v>
      </c>
      <c r="T308" s="304">
        <f t="shared" ca="1" si="117"/>
        <v>67.661822842168689</v>
      </c>
      <c r="U308" s="311">
        <f t="shared" ca="1" si="118"/>
        <v>0</v>
      </c>
      <c r="V308" s="306">
        <f t="shared" ca="1" si="119"/>
        <v>1.1801195999622067</v>
      </c>
      <c r="W308" s="304">
        <f t="shared" ca="1" si="120"/>
        <v>133.80295177107527</v>
      </c>
      <c r="Y308" s="314" t="str">
        <f t="shared" ca="1" si="138"/>
        <v/>
      </c>
      <c r="Z308" s="315" t="str">
        <f t="shared" ca="1" si="139"/>
        <v/>
      </c>
      <c r="AA308" s="316" t="str">
        <f t="shared" ca="1" si="140"/>
        <v/>
      </c>
      <c r="AC308" s="310" t="e">
        <f t="shared" ca="1" si="141"/>
        <v>#N/A</v>
      </c>
      <c r="AD308" s="323" t="e">
        <f t="shared" ca="1" si="142"/>
        <v>#N/A</v>
      </c>
      <c r="AE308" s="324">
        <f t="shared" ca="1" si="121"/>
        <v>373.20722045172681</v>
      </c>
      <c r="AG308" s="306">
        <f t="shared" ca="1" si="143"/>
        <v>23.483057994278738</v>
      </c>
      <c r="AH308" s="304">
        <f t="shared" ca="1" si="144"/>
        <v>33.231275486434491</v>
      </c>
    </row>
    <row r="309" spans="1:34" x14ac:dyDescent="0.2">
      <c r="A309" s="347">
        <f t="shared" ca="1" si="122"/>
        <v>0.01</v>
      </c>
      <c r="B309" s="304">
        <f t="shared" ca="1" si="123"/>
        <v>3.049999999999979</v>
      </c>
      <c r="D309" s="306">
        <f t="shared" ca="1" si="124"/>
        <v>3.586307982399402</v>
      </c>
      <c r="E309" s="307">
        <f t="shared" ca="1" si="125"/>
        <v>21.97875800561124</v>
      </c>
      <c r="F309" s="304">
        <f t="shared" ca="1" si="126"/>
        <v>22.269427662466807</v>
      </c>
      <c r="G309" s="306">
        <f t="shared" ca="1" si="127"/>
        <v>23.844765000772021</v>
      </c>
      <c r="H309" s="307">
        <f t="shared" ca="1" si="128"/>
        <v>211.26006221870537</v>
      </c>
      <c r="I309" s="304">
        <f t="shared" ca="1" si="129"/>
        <v>212.60147390503508</v>
      </c>
      <c r="J309" s="306">
        <f t="shared" ca="1" si="130"/>
        <v>39.767744950106092</v>
      </c>
      <c r="K309" s="307">
        <f t="shared" ca="1" si="131"/>
        <v>375.3187221360136</v>
      </c>
      <c r="L309" s="304">
        <f t="shared" ca="1" si="116"/>
        <v>377.41968248122259</v>
      </c>
      <c r="M309" s="306">
        <f t="shared" ca="1" si="132"/>
        <v>1.458402743211938</v>
      </c>
      <c r="N309" s="304">
        <f t="shared" ca="1" si="133"/>
        <v>83.560322016345609</v>
      </c>
      <c r="P309" s="310">
        <f t="shared" ca="1" si="134"/>
        <v>8</v>
      </c>
      <c r="Q309" s="304">
        <f t="shared" ca="1" si="135"/>
        <v>354.39130434784374</v>
      </c>
      <c r="R309" s="306">
        <f t="shared" ca="1" si="136"/>
        <v>0.17785248395153572</v>
      </c>
      <c r="S309" s="307">
        <f t="shared" ca="1" si="137"/>
        <v>6.8954511226802282</v>
      </c>
      <c r="T309" s="304">
        <f t="shared" ca="1" si="117"/>
        <v>67.644375513493046</v>
      </c>
      <c r="U309" s="311">
        <f t="shared" ca="1" si="118"/>
        <v>0</v>
      </c>
      <c r="V309" s="306">
        <f t="shared" ca="1" si="119"/>
        <v>1.1798703565439574</v>
      </c>
      <c r="W309" s="304">
        <f t="shared" ca="1" si="120"/>
        <v>134.05504135113773</v>
      </c>
      <c r="Y309" s="314" t="str">
        <f t="shared" ca="1" si="138"/>
        <v/>
      </c>
      <c r="Z309" s="315" t="str">
        <f t="shared" ca="1" si="139"/>
        <v/>
      </c>
      <c r="AA309" s="316" t="str">
        <f t="shared" ca="1" si="140"/>
        <v/>
      </c>
      <c r="AC309" s="310" t="e">
        <f t="shared" ca="1" si="141"/>
        <v>#N/A</v>
      </c>
      <c r="AD309" s="323" t="e">
        <f t="shared" ca="1" si="142"/>
        <v>#N/A</v>
      </c>
      <c r="AE309" s="324">
        <f t="shared" ca="1" si="121"/>
        <v>375.3187221360136</v>
      </c>
      <c r="AG309" s="306">
        <f t="shared" ca="1" si="143"/>
        <v>22.242255802057251</v>
      </c>
      <c r="AH309" s="304">
        <f t="shared" ca="1" si="144"/>
        <v>31.990416384972772</v>
      </c>
    </row>
    <row r="310" spans="1:34" x14ac:dyDescent="0.2">
      <c r="A310" s="347">
        <f t="shared" ca="1" si="122"/>
        <v>0.01</v>
      </c>
      <c r="B310" s="304">
        <f t="shared" ca="1" si="123"/>
        <v>3.0599999999999787</v>
      </c>
      <c r="D310" s="306">
        <f t="shared" ca="1" si="124"/>
        <v>3.4489401290376458</v>
      </c>
      <c r="E310" s="307">
        <f t="shared" ca="1" si="125"/>
        <v>20.746950602175858</v>
      </c>
      <c r="F310" s="304">
        <f t="shared" ca="1" si="126"/>
        <v>21.031670102557509</v>
      </c>
      <c r="G310" s="306">
        <f t="shared" ca="1" si="127"/>
        <v>23.879254402062397</v>
      </c>
      <c r="H310" s="307">
        <f t="shared" ca="1" si="128"/>
        <v>211.46753172472714</v>
      </c>
      <c r="I310" s="304">
        <f t="shared" ca="1" si="129"/>
        <v>212.81150289527795</v>
      </c>
      <c r="J310" s="306">
        <f t="shared" ca="1" si="130"/>
        <v>40.006365047120262</v>
      </c>
      <c r="K310" s="307">
        <f t="shared" ca="1" si="131"/>
        <v>377.43236010573077</v>
      </c>
      <c r="L310" s="304">
        <f t="shared" ca="1" si="116"/>
        <v>379.54669765295745</v>
      </c>
      <c r="M310" s="306">
        <f t="shared" ca="1" si="132"/>
        <v>1.4583510420046621</v>
      </c>
      <c r="N310" s="304">
        <f t="shared" ca="1" si="133"/>
        <v>83.557359755372985</v>
      </c>
      <c r="P310" s="310">
        <f t="shared" ca="1" si="134"/>
        <v>8</v>
      </c>
      <c r="Q310" s="304">
        <f t="shared" ca="1" si="135"/>
        <v>346.04347826088735</v>
      </c>
      <c r="R310" s="306">
        <f t="shared" ca="1" si="136"/>
        <v>0.17366309897807322</v>
      </c>
      <c r="S310" s="307">
        <f t="shared" ca="1" si="137"/>
        <v>6.8937144916904476</v>
      </c>
      <c r="T310" s="304">
        <f t="shared" ca="1" si="117"/>
        <v>67.627339163483299</v>
      </c>
      <c r="U310" s="311">
        <f t="shared" ca="1" si="118"/>
        <v>0</v>
      </c>
      <c r="V310" s="306">
        <f t="shared" ca="1" si="119"/>
        <v>1.1796209126882247</v>
      </c>
      <c r="W310" s="304">
        <f t="shared" ca="1" si="120"/>
        <v>134.29164067607354</v>
      </c>
      <c r="Y310" s="314" t="str">
        <f t="shared" ca="1" si="138"/>
        <v/>
      </c>
      <c r="Z310" s="315" t="str">
        <f t="shared" ca="1" si="139"/>
        <v/>
      </c>
      <c r="AA310" s="316" t="str">
        <f t="shared" ca="1" si="140"/>
        <v/>
      </c>
      <c r="AC310" s="310" t="e">
        <f t="shared" ca="1" si="141"/>
        <v>#N/A</v>
      </c>
      <c r="AD310" s="323" t="e">
        <f t="shared" ca="1" si="142"/>
        <v>#N/A</v>
      </c>
      <c r="AE310" s="324">
        <f t="shared" ca="1" si="121"/>
        <v>377.43236010573077</v>
      </c>
      <c r="AG310" s="306">
        <f t="shared" ca="1" si="143"/>
        <v>21.002870581872116</v>
      </c>
      <c r="AH310" s="304">
        <f t="shared" ca="1" si="144"/>
        <v>30.750974262899408</v>
      </c>
    </row>
    <row r="311" spans="1:34" x14ac:dyDescent="0.2">
      <c r="A311" s="347">
        <f t="shared" ca="1" si="122"/>
        <v>0.01</v>
      </c>
      <c r="B311" s="304">
        <f t="shared" ca="1" si="123"/>
        <v>3.0699999999999785</v>
      </c>
      <c r="D311" s="306">
        <f t="shared" ca="1" si="124"/>
        <v>3.3116060230216382</v>
      </c>
      <c r="E311" s="307">
        <f t="shared" ca="1" si="125"/>
        <v>19.516592025948803</v>
      </c>
      <c r="F311" s="304">
        <f t="shared" ca="1" si="126"/>
        <v>19.795557551103268</v>
      </c>
      <c r="G311" s="306">
        <f t="shared" ca="1" si="127"/>
        <v>23.912370462292614</v>
      </c>
      <c r="H311" s="307">
        <f t="shared" ca="1" si="128"/>
        <v>211.66269764498662</v>
      </c>
      <c r="I311" s="304">
        <f t="shared" ca="1" si="129"/>
        <v>213.00915246880581</v>
      </c>
      <c r="J311" s="306">
        <f t="shared" ca="1" si="130"/>
        <v>40.245323171442038</v>
      </c>
      <c r="K311" s="307">
        <f t="shared" ca="1" si="131"/>
        <v>379.54801125257933</v>
      </c>
      <c r="L311" s="304">
        <f t="shared" ca="1" si="116"/>
        <v>381.6757509758275</v>
      </c>
      <c r="M311" s="306">
        <f t="shared" ca="1" si="132"/>
        <v>1.4582993651101865</v>
      </c>
      <c r="N311" s="304">
        <f t="shared" ca="1" si="133"/>
        <v>83.554398887421186</v>
      </c>
      <c r="P311" s="310">
        <f t="shared" ca="1" si="134"/>
        <v>8</v>
      </c>
      <c r="Q311" s="304">
        <f t="shared" ca="1" si="135"/>
        <v>337.69565217393102</v>
      </c>
      <c r="R311" s="306">
        <f t="shared" ca="1" si="136"/>
        <v>0.16947371400461078</v>
      </c>
      <c r="S311" s="307">
        <f t="shared" ca="1" si="137"/>
        <v>6.8920197545504012</v>
      </c>
      <c r="T311" s="304">
        <f t="shared" ca="1" si="117"/>
        <v>67.610713792139435</v>
      </c>
      <c r="U311" s="311">
        <f t="shared" ca="1" si="118"/>
        <v>0</v>
      </c>
      <c r="V311" s="306">
        <f t="shared" ca="1" si="119"/>
        <v>1.1793712830600864</v>
      </c>
      <c r="W311" s="304">
        <f t="shared" ca="1" si="120"/>
        <v>134.51273294986896</v>
      </c>
      <c r="Y311" s="314" t="str">
        <f t="shared" ca="1" si="138"/>
        <v/>
      </c>
      <c r="Z311" s="315" t="str">
        <f t="shared" ca="1" si="139"/>
        <v/>
      </c>
      <c r="AA311" s="316" t="str">
        <f t="shared" ca="1" si="140"/>
        <v/>
      </c>
      <c r="AC311" s="310" t="e">
        <f t="shared" ca="1" si="141"/>
        <v>#N/A</v>
      </c>
      <c r="AD311" s="323" t="e">
        <f t="shared" ca="1" si="142"/>
        <v>#N/A</v>
      </c>
      <c r="AE311" s="324">
        <f t="shared" ca="1" si="121"/>
        <v>379.54801125257933</v>
      </c>
      <c r="AG311" s="306">
        <f t="shared" ca="1" si="143"/>
        <v>19.764928910721736</v>
      </c>
      <c r="AH311" s="304">
        <f t="shared" ca="1" si="144"/>
        <v>29.512975693890258</v>
      </c>
    </row>
    <row r="312" spans="1:34" x14ac:dyDescent="0.2">
      <c r="A312" s="347">
        <f t="shared" ca="1" si="122"/>
        <v>0.01</v>
      </c>
      <c r="B312" s="304">
        <f t="shared" ca="1" si="123"/>
        <v>3.0799999999999783</v>
      </c>
      <c r="D312" s="306">
        <f t="shared" ca="1" si="124"/>
        <v>3.1743090026612775</v>
      </c>
      <c r="E312" s="307">
        <f t="shared" ca="1" si="125"/>
        <v>18.287708159947769</v>
      </c>
      <c r="F312" s="304">
        <f t="shared" ca="1" si="126"/>
        <v>18.561155874238992</v>
      </c>
      <c r="G312" s="306">
        <f t="shared" ca="1" si="127"/>
        <v>23.944113552319227</v>
      </c>
      <c r="H312" s="307">
        <f t="shared" ca="1" si="128"/>
        <v>211.84557472658611</v>
      </c>
      <c r="I312" s="304">
        <f t="shared" ca="1" si="129"/>
        <v>213.1944373219994</v>
      </c>
      <c r="J312" s="306">
        <f t="shared" ca="1" si="130"/>
        <v>40.484605591515098</v>
      </c>
      <c r="K312" s="307">
        <f t="shared" ca="1" si="131"/>
        <v>381.66555261443722</v>
      </c>
      <c r="L312" s="304">
        <f t="shared" ca="1" si="116"/>
        <v>383.80671873012369</v>
      </c>
      <c r="M312" s="306">
        <f t="shared" ca="1" si="132"/>
        <v>1.458247709498971</v>
      </c>
      <c r="N312" s="304">
        <f t="shared" ca="1" si="133"/>
        <v>83.551439238910362</v>
      </c>
      <c r="P312" s="310">
        <f t="shared" ca="1" si="134"/>
        <v>8</v>
      </c>
      <c r="Q312" s="304">
        <f t="shared" ca="1" si="135"/>
        <v>329.34782608697469</v>
      </c>
      <c r="R312" s="306">
        <f t="shared" ca="1" si="136"/>
        <v>0.16528432903114834</v>
      </c>
      <c r="S312" s="307">
        <f t="shared" ca="1" si="137"/>
        <v>6.8903669112600898</v>
      </c>
      <c r="T312" s="304">
        <f t="shared" ca="1" si="117"/>
        <v>67.594499399461483</v>
      </c>
      <c r="U312" s="311">
        <f t="shared" ca="1" si="118"/>
        <v>0</v>
      </c>
      <c r="V312" s="306">
        <f t="shared" ca="1" si="119"/>
        <v>1.1791214822953746</v>
      </c>
      <c r="W312" s="304">
        <f t="shared" ca="1" si="120"/>
        <v>134.71830454909238</v>
      </c>
      <c r="Y312" s="314" t="str">
        <f t="shared" ca="1" si="138"/>
        <v/>
      </c>
      <c r="Z312" s="315" t="str">
        <f t="shared" ca="1" si="139"/>
        <v/>
      </c>
      <c r="AA312" s="316" t="str">
        <f t="shared" ca="1" si="140"/>
        <v/>
      </c>
      <c r="AC312" s="310" t="e">
        <f t="shared" ca="1" si="141"/>
        <v>#N/A</v>
      </c>
      <c r="AD312" s="323" t="e">
        <f t="shared" ca="1" si="142"/>
        <v>#N/A</v>
      </c>
      <c r="AE312" s="324">
        <f t="shared" ca="1" si="121"/>
        <v>381.66555261443722</v>
      </c>
      <c r="AG312" s="306">
        <f t="shared" ca="1" si="143"/>
        <v>18.528456876002956</v>
      </c>
      <c r="AH312" s="304">
        <f t="shared" ca="1" si="144"/>
        <v>28.276446762030975</v>
      </c>
    </row>
    <row r="313" spans="1:34" x14ac:dyDescent="0.2">
      <c r="A313" s="347">
        <f t="shared" ca="1" si="122"/>
        <v>0.01</v>
      </c>
      <c r="B313" s="304">
        <f t="shared" ca="1" si="123"/>
        <v>3.0899999999999781</v>
      </c>
      <c r="D313" s="306">
        <f t="shared" ca="1" si="124"/>
        <v>3.0370523411351606</v>
      </c>
      <c r="E313" s="307">
        <f t="shared" ca="1" si="125"/>
        <v>17.060324402557946</v>
      </c>
      <c r="F313" s="304">
        <f t="shared" ca="1" si="126"/>
        <v>17.328541647908768</v>
      </c>
      <c r="G313" s="306">
        <f t="shared" ca="1" si="127"/>
        <v>23.974484075730579</v>
      </c>
      <c r="H313" s="307">
        <f t="shared" ca="1" si="128"/>
        <v>212.01617797061169</v>
      </c>
      <c r="I313" s="304">
        <f t="shared" ca="1" si="129"/>
        <v>213.36737240722525</v>
      </c>
      <c r="J313" s="306">
        <f t="shared" ca="1" si="130"/>
        <v>40.724198579655351</v>
      </c>
      <c r="K313" s="307">
        <f t="shared" ca="1" si="131"/>
        <v>383.78486137792322</v>
      </c>
      <c r="L313" s="304">
        <f t="shared" ca="1" si="116"/>
        <v>385.93947734434596</v>
      </c>
      <c r="M313" s="306">
        <f t="shared" ca="1" si="132"/>
        <v>1.4581960721553022</v>
      </c>
      <c r="N313" s="304">
        <f t="shared" ca="1" si="133"/>
        <v>83.548480637052876</v>
      </c>
      <c r="P313" s="310">
        <f t="shared" ca="1" si="134"/>
        <v>8</v>
      </c>
      <c r="Q313" s="304">
        <f t="shared" ca="1" si="135"/>
        <v>321.00000000001836</v>
      </c>
      <c r="R313" s="306">
        <f t="shared" ca="1" si="136"/>
        <v>0.1610949440576859</v>
      </c>
      <c r="S313" s="307">
        <f t="shared" ca="1" si="137"/>
        <v>6.8887559618195127</v>
      </c>
      <c r="T313" s="304">
        <f t="shared" ca="1" si="117"/>
        <v>67.578695985449428</v>
      </c>
      <c r="U313" s="311">
        <f t="shared" ca="1" si="118"/>
        <v>0</v>
      </c>
      <c r="V313" s="306">
        <f t="shared" ca="1" si="119"/>
        <v>1.1788715250003698</v>
      </c>
      <c r="W313" s="304">
        <f t="shared" ca="1" si="120"/>
        <v>134.90834500221973</v>
      </c>
      <c r="Y313" s="314" t="str">
        <f t="shared" ca="1" si="138"/>
        <v/>
      </c>
      <c r="Z313" s="315" t="str">
        <f t="shared" ca="1" si="139"/>
        <v/>
      </c>
      <c r="AA313" s="316" t="str">
        <f t="shared" ca="1" si="140"/>
        <v/>
      </c>
      <c r="AC313" s="310" t="e">
        <f t="shared" ca="1" si="141"/>
        <v>#N/A</v>
      </c>
      <c r="AD313" s="323" t="e">
        <f t="shared" ca="1" si="142"/>
        <v>#N/A</v>
      </c>
      <c r="AE313" s="324">
        <f t="shared" ca="1" si="121"/>
        <v>383.78486137792322</v>
      </c>
      <c r="AG313" s="306">
        <f t="shared" ca="1" si="143"/>
        <v>17.293480076283029</v>
      </c>
      <c r="AH313" s="304">
        <f t="shared" ca="1" si="144"/>
        <v>27.041413062587832</v>
      </c>
    </row>
    <row r="314" spans="1:34" x14ac:dyDescent="0.2">
      <c r="A314" s="347">
        <f t="shared" ca="1" si="122"/>
        <v>0.01</v>
      </c>
      <c r="B314" s="304">
        <f t="shared" ca="1" si="123"/>
        <v>3.0999999999999779</v>
      </c>
      <c r="D314" s="306">
        <f t="shared" ca="1" si="124"/>
        <v>2.8998392466188707</v>
      </c>
      <c r="E314" s="307">
        <f t="shared" ca="1" si="125"/>
        <v>15.834465668384782</v>
      </c>
      <c r="F314" s="304">
        <f t="shared" ca="1" si="126"/>
        <v>16.097806392781827</v>
      </c>
      <c r="G314" s="306">
        <f t="shared" ca="1" si="127"/>
        <v>24.003482468196768</v>
      </c>
      <c r="H314" s="307">
        <f t="shared" ca="1" si="128"/>
        <v>212.17452262729554</v>
      </c>
      <c r="I314" s="304">
        <f t="shared" ca="1" si="129"/>
        <v>213.52797292795569</v>
      </c>
      <c r="J314" s="306">
        <f t="shared" ca="1" si="130"/>
        <v>40.964088412374984</v>
      </c>
      <c r="K314" s="307">
        <f t="shared" ca="1" si="131"/>
        <v>385.90581488091277</v>
      </c>
      <c r="L314" s="304">
        <f t="shared" ca="1" si="116"/>
        <v>388.07390339773968</v>
      </c>
      <c r="M314" s="306">
        <f t="shared" ca="1" si="132"/>
        <v>1.4581444500762628</v>
      </c>
      <c r="N314" s="304">
        <f t="shared" ca="1" si="133"/>
        <v>83.545522909794229</v>
      </c>
      <c r="P314" s="310">
        <f t="shared" ca="1" si="134"/>
        <v>8</v>
      </c>
      <c r="Q314" s="304">
        <f t="shared" ca="1" si="135"/>
        <v>312.65217391306203</v>
      </c>
      <c r="R314" s="306">
        <f t="shared" ca="1" si="136"/>
        <v>0.15690555908422346</v>
      </c>
      <c r="S314" s="307">
        <f t="shared" ca="1" si="137"/>
        <v>6.8871869062286706</v>
      </c>
      <c r="T314" s="304">
        <f t="shared" ca="1" si="117"/>
        <v>67.563303550103257</v>
      </c>
      <c r="U314" s="311">
        <f t="shared" ca="1" si="118"/>
        <v>0</v>
      </c>
      <c r="V314" s="306">
        <f t="shared" ca="1" si="119"/>
        <v>1.1786214257515073</v>
      </c>
      <c r="W314" s="304">
        <f t="shared" ca="1" si="120"/>
        <v>135.0828469686825</v>
      </c>
      <c r="Y314" s="314" t="str">
        <f t="shared" ca="1" si="138"/>
        <v/>
      </c>
      <c r="Z314" s="315" t="str">
        <f t="shared" ca="1" si="139"/>
        <v/>
      </c>
      <c r="AA314" s="316" t="str">
        <f t="shared" ca="1" si="140"/>
        <v/>
      </c>
      <c r="AC314" s="310" t="e">
        <f t="shared" ca="1" si="141"/>
        <v>#N/A</v>
      </c>
      <c r="AD314" s="323" t="e">
        <f t="shared" ca="1" si="142"/>
        <v>#N/A</v>
      </c>
      <c r="AE314" s="324">
        <f t="shared" ca="1" si="121"/>
        <v>385.90581488091277</v>
      </c>
      <c r="AG314" s="306">
        <f t="shared" ca="1" si="143"/>
        <v>16.060023622159079</v>
      </c>
      <c r="AH314" s="304">
        <f t="shared" ca="1" si="144"/>
        <v>25.807899702866113</v>
      </c>
    </row>
    <row r="315" spans="1:34" x14ac:dyDescent="0.2">
      <c r="A315" s="347">
        <f t="shared" ca="1" si="122"/>
        <v>0.01</v>
      </c>
      <c r="B315" s="304">
        <f t="shared" ca="1" si="123"/>
        <v>3.1099999999999777</v>
      </c>
      <c r="D315" s="306">
        <f t="shared" ca="1" si="124"/>
        <v>2.7626728624165482</v>
      </c>
      <c r="E315" s="307">
        <f t="shared" ca="1" si="125"/>
        <v>14.610156389192911</v>
      </c>
      <c r="F315" s="304">
        <f t="shared" ca="1" si="126"/>
        <v>14.869062884439197</v>
      </c>
      <c r="G315" s="306">
        <f t="shared" ca="1" si="127"/>
        <v>24.031109196820935</v>
      </c>
      <c r="H315" s="307">
        <f t="shared" ca="1" si="128"/>
        <v>212.32062419118748</v>
      </c>
      <c r="I315" s="304">
        <f t="shared" ca="1" si="129"/>
        <v>213.67625433389878</v>
      </c>
      <c r="J315" s="306">
        <f t="shared" ca="1" si="130"/>
        <v>41.204261370700074</v>
      </c>
      <c r="K315" s="307">
        <f t="shared" ca="1" si="131"/>
        <v>388.02829061500518</v>
      </c>
      <c r="L315" s="304">
        <f t="shared" ca="1" si="116"/>
        <v>390.20987362278248</v>
      </c>
      <c r="M315" s="306">
        <f t="shared" ca="1" si="132"/>
        <v>1.4580928402707107</v>
      </c>
      <c r="N315" s="304">
        <f t="shared" ca="1" si="133"/>
        <v>83.542565885754598</v>
      </c>
      <c r="P315" s="310">
        <f t="shared" ca="1" si="134"/>
        <v>8</v>
      </c>
      <c r="Q315" s="304">
        <f t="shared" ca="1" si="135"/>
        <v>304.30434782610564</v>
      </c>
      <c r="R315" s="306">
        <f t="shared" ca="1" si="136"/>
        <v>0.15271617411076099</v>
      </c>
      <c r="S315" s="307">
        <f t="shared" ca="1" si="137"/>
        <v>6.8856597444875627</v>
      </c>
      <c r="T315" s="304">
        <f t="shared" ca="1" si="117"/>
        <v>67.548322093422996</v>
      </c>
      <c r="U315" s="311">
        <f t="shared" ca="1" si="118"/>
        <v>0</v>
      </c>
      <c r="V315" s="306">
        <f t="shared" ca="1" si="119"/>
        <v>1.17837119909509</v>
      </c>
      <c r="W315" s="304">
        <f t="shared" ca="1" si="120"/>
        <v>135.24180621764998</v>
      </c>
      <c r="Y315" s="314" t="str">
        <f t="shared" ca="1" si="138"/>
        <v/>
      </c>
      <c r="Z315" s="315" t="str">
        <f t="shared" ca="1" si="139"/>
        <v/>
      </c>
      <c r="AA315" s="316" t="str">
        <f t="shared" ca="1" si="140"/>
        <v/>
      </c>
      <c r="AC315" s="310" t="e">
        <f t="shared" ca="1" si="141"/>
        <v>#N/A</v>
      </c>
      <c r="AD315" s="323" t="e">
        <f t="shared" ca="1" si="142"/>
        <v>#N/A</v>
      </c>
      <c r="AE315" s="324">
        <f t="shared" ca="1" si="121"/>
        <v>388.02829061500518</v>
      </c>
      <c r="AG315" s="306">
        <f t="shared" ca="1" si="143"/>
        <v>14.828112137203671</v>
      </c>
      <c r="AH315" s="304">
        <f t="shared" ca="1" si="144"/>
        <v>24.575931303154562</v>
      </c>
    </row>
    <row r="316" spans="1:34" x14ac:dyDescent="0.2">
      <c r="A316" s="347">
        <f t="shared" ca="1" si="122"/>
        <v>0.01</v>
      </c>
      <c r="B316" s="304">
        <f t="shared" ca="1" si="123"/>
        <v>3.1199999999999775</v>
      </c>
      <c r="D316" s="306">
        <f t="shared" ca="1" si="124"/>
        <v>2.6255562670957318</v>
      </c>
      <c r="E316" s="307">
        <f t="shared" ca="1" si="125"/>
        <v>13.387420514929691</v>
      </c>
      <c r="F316" s="304">
        <f t="shared" ca="1" si="126"/>
        <v>13.64245482877792</v>
      </c>
      <c r="G316" s="306">
        <f t="shared" ca="1" si="127"/>
        <v>24.057364759491893</v>
      </c>
      <c r="H316" s="307">
        <f t="shared" ca="1" si="128"/>
        <v>212.45449839633676</v>
      </c>
      <c r="I316" s="304">
        <f t="shared" ca="1" si="129"/>
        <v>213.81223231613831</v>
      </c>
      <c r="J316" s="306">
        <f t="shared" ca="1" si="130"/>
        <v>41.444703740481636</v>
      </c>
      <c r="K316" s="307">
        <f t="shared" ca="1" si="131"/>
        <v>390.15216622794281</v>
      </c>
      <c r="L316" s="304">
        <f t="shared" ca="1" si="116"/>
        <v>392.34726490762318</v>
      </c>
      <c r="M316" s="306">
        <f t="shared" ca="1" si="132"/>
        <v>1.4580412397582725</v>
      </c>
      <c r="N316" s="304">
        <f t="shared" ca="1" si="133"/>
        <v>83.53960939417118</v>
      </c>
      <c r="P316" s="310">
        <f t="shared" ca="1" si="134"/>
        <v>8</v>
      </c>
      <c r="Q316" s="304">
        <f t="shared" ca="1" si="135"/>
        <v>295.95652173914931</v>
      </c>
      <c r="R316" s="306">
        <f t="shared" ca="1" si="136"/>
        <v>0.14852678913729855</v>
      </c>
      <c r="S316" s="307">
        <f t="shared" ca="1" si="137"/>
        <v>6.8841744765961899</v>
      </c>
      <c r="T316" s="304">
        <f t="shared" ca="1" si="117"/>
        <v>67.533751615408633</v>
      </c>
      <c r="U316" s="311">
        <f t="shared" ca="1" si="118"/>
        <v>0</v>
      </c>
      <c r="V316" s="306">
        <f t="shared" ca="1" si="119"/>
        <v>1.1781208595470094</v>
      </c>
      <c r="W316" s="304">
        <f t="shared" ca="1" si="120"/>
        <v>135.38522160655654</v>
      </c>
      <c r="Y316" s="314" t="str">
        <f t="shared" ca="1" si="138"/>
        <v/>
      </c>
      <c r="Z316" s="315" t="str">
        <f t="shared" ca="1" si="139"/>
        <v/>
      </c>
      <c r="AA316" s="316" t="str">
        <f t="shared" ca="1" si="140"/>
        <v/>
      </c>
      <c r="AC316" s="310" t="e">
        <f t="shared" ca="1" si="141"/>
        <v>#N/A</v>
      </c>
      <c r="AD316" s="323" t="e">
        <f t="shared" ca="1" si="142"/>
        <v>#N/A</v>
      </c>
      <c r="AE316" s="324">
        <f t="shared" ca="1" si="121"/>
        <v>390.15216622794281</v>
      </c>
      <c r="AG316" s="306">
        <f t="shared" ca="1" si="143"/>
        <v>13.597769758994728</v>
      </c>
      <c r="AH316" s="304">
        <f t="shared" ca="1" si="144"/>
        <v>23.345531997754229</v>
      </c>
    </row>
    <row r="317" spans="1:34" x14ac:dyDescent="0.2">
      <c r="A317" s="347">
        <f t="shared" ca="1" si="122"/>
        <v>0.01</v>
      </c>
      <c r="B317" s="304">
        <f t="shared" ca="1" si="123"/>
        <v>3.1299999999999772</v>
      </c>
      <c r="D317" s="306">
        <f t="shared" ca="1" si="124"/>
        <v>2.4884924746253221</v>
      </c>
      <c r="E317" s="307">
        <f t="shared" ca="1" si="125"/>
        <v>12.166281514831534</v>
      </c>
      <c r="F317" s="304">
        <f t="shared" ca="1" si="126"/>
        <v>12.418172196196924</v>
      </c>
      <c r="G317" s="306">
        <f t="shared" ca="1" si="127"/>
        <v>24.082249684238146</v>
      </c>
      <c r="H317" s="307">
        <f t="shared" ca="1" si="128"/>
        <v>212.57616121148507</v>
      </c>
      <c r="I317" s="304">
        <f t="shared" ca="1" si="129"/>
        <v>213.93592280228506</v>
      </c>
      <c r="J317" s="306">
        <f t="shared" ca="1" si="130"/>
        <v>41.685401812700285</v>
      </c>
      <c r="K317" s="307">
        <f t="shared" ca="1" si="131"/>
        <v>392.27731952598191</v>
      </c>
      <c r="L317" s="304">
        <f t="shared" ca="1" si="116"/>
        <v>394.48595429847126</v>
      </c>
      <c r="M317" s="306">
        <f t="shared" ca="1" si="132"/>
        <v>1.4579896455683439</v>
      </c>
      <c r="N317" s="304">
        <f t="shared" ca="1" si="133"/>
        <v>83.536653264840879</v>
      </c>
      <c r="P317" s="310">
        <f t="shared" ca="1" si="134"/>
        <v>8</v>
      </c>
      <c r="Q317" s="304">
        <f t="shared" ca="1" si="135"/>
        <v>287.60869565219298</v>
      </c>
      <c r="R317" s="306">
        <f t="shared" ca="1" si="136"/>
        <v>0.14433740416383611</v>
      </c>
      <c r="S317" s="307">
        <f t="shared" ca="1" si="137"/>
        <v>6.8827311025545512</v>
      </c>
      <c r="T317" s="304">
        <f t="shared" ca="1" si="117"/>
        <v>67.519592116060153</v>
      </c>
      <c r="U317" s="311">
        <f t="shared" ca="1" si="118"/>
        <v>0</v>
      </c>
      <c r="V317" s="306">
        <f t="shared" ca="1" si="119"/>
        <v>1.1778704215924718</v>
      </c>
      <c r="W317" s="304">
        <f t="shared" ca="1" si="120"/>
        <v>135.51309505938588</v>
      </c>
      <c r="Y317" s="314" t="str">
        <f t="shared" ca="1" si="138"/>
        <v/>
      </c>
      <c r="Z317" s="315" t="str">
        <f t="shared" ca="1" si="139"/>
        <v/>
      </c>
      <c r="AA317" s="316" t="str">
        <f t="shared" ca="1" si="140"/>
        <v/>
      </c>
      <c r="AC317" s="310" t="e">
        <f t="shared" ca="1" si="141"/>
        <v>#N/A</v>
      </c>
      <c r="AD317" s="323" t="e">
        <f t="shared" ca="1" si="142"/>
        <v>#N/A</v>
      </c>
      <c r="AE317" s="324">
        <f t="shared" ca="1" si="121"/>
        <v>392.27731952598191</v>
      </c>
      <c r="AG317" s="306">
        <f t="shared" ca="1" si="143"/>
        <v>12.369020140228219</v>
      </c>
      <c r="AH317" s="304">
        <f t="shared" ca="1" si="144"/>
        <v>22.116725436090061</v>
      </c>
    </row>
    <row r="318" spans="1:34" x14ac:dyDescent="0.2">
      <c r="A318" s="347">
        <f t="shared" ca="1" si="122"/>
        <v>0.01</v>
      </c>
      <c r="B318" s="304">
        <f t="shared" ca="1" si="123"/>
        <v>3.139999999999977</v>
      </c>
      <c r="D318" s="306">
        <f t="shared" ca="1" si="124"/>
        <v>2.3514844345167187</v>
      </c>
      <c r="E318" s="307">
        <f t="shared" ca="1" si="125"/>
        <v>10.946762378611552</v>
      </c>
      <c r="F318" s="304">
        <f t="shared" ca="1" si="126"/>
        <v>11.196476482338525</v>
      </c>
      <c r="G318" s="306">
        <f t="shared" ca="1" si="127"/>
        <v>24.105764528583315</v>
      </c>
      <c r="H318" s="307">
        <f t="shared" ca="1" si="128"/>
        <v>212.68562883527119</v>
      </c>
      <c r="I318" s="304">
        <f t="shared" ca="1" si="129"/>
        <v>214.04734195163985</v>
      </c>
      <c r="J318" s="306">
        <f t="shared" ca="1" si="130"/>
        <v>41.926341883764394</v>
      </c>
      <c r="K318" s="307">
        <f t="shared" ca="1" si="131"/>
        <v>394.40362847621572</v>
      </c>
      <c r="L318" s="304">
        <f t="shared" ca="1" si="116"/>
        <v>396.62581900193925</v>
      </c>
      <c r="M318" s="306">
        <f t="shared" ca="1" si="132"/>
        <v>1.4579380547391008</v>
      </c>
      <c r="N318" s="304">
        <f t="shared" ca="1" si="133"/>
        <v>83.533697328063667</v>
      </c>
      <c r="P318" s="310">
        <f t="shared" ca="1" si="134"/>
        <v>8</v>
      </c>
      <c r="Q318" s="304">
        <f t="shared" ca="1" si="135"/>
        <v>279.26086956523659</v>
      </c>
      <c r="R318" s="306">
        <f t="shared" ca="1" si="136"/>
        <v>0.14014801919037362</v>
      </c>
      <c r="S318" s="307">
        <f t="shared" ca="1" si="137"/>
        <v>6.8813296223626477</v>
      </c>
      <c r="T318" s="304">
        <f t="shared" ca="1" si="117"/>
        <v>67.50584359537757</v>
      </c>
      <c r="U318" s="311">
        <f t="shared" ca="1" si="118"/>
        <v>0</v>
      </c>
      <c r="V318" s="306">
        <f t="shared" ca="1" si="119"/>
        <v>1.1776198996857394</v>
      </c>
      <c r="W318" s="304">
        <f t="shared" ca="1" si="120"/>
        <v>135.62543154472269</v>
      </c>
      <c r="Y318" s="314" t="str">
        <f t="shared" ca="1" si="138"/>
        <v/>
      </c>
      <c r="Z318" s="315" t="str">
        <f t="shared" ca="1" si="139"/>
        <v/>
      </c>
      <c r="AA318" s="316" t="str">
        <f t="shared" ca="1" si="140"/>
        <v/>
      </c>
      <c r="AC318" s="310" t="e">
        <f t="shared" ca="1" si="141"/>
        <v>#N/A</v>
      </c>
      <c r="AD318" s="323" t="e">
        <f t="shared" ca="1" si="142"/>
        <v>#N/A</v>
      </c>
      <c r="AE318" s="324">
        <f t="shared" ca="1" si="121"/>
        <v>394.40362847621572</v>
      </c>
      <c r="AG318" s="306">
        <f t="shared" ca="1" si="143"/>
        <v>11.141886449911906</v>
      </c>
      <c r="AH318" s="304">
        <f t="shared" ca="1" si="144"/>
        <v>20.889534783903596</v>
      </c>
    </row>
    <row r="319" spans="1:34" x14ac:dyDescent="0.2">
      <c r="A319" s="347">
        <f t="shared" ca="1" si="122"/>
        <v>0.01</v>
      </c>
      <c r="B319" s="304">
        <f t="shared" ca="1" si="123"/>
        <v>3.1499999999999768</v>
      </c>
      <c r="D319" s="306">
        <f t="shared" ca="1" si="124"/>
        <v>2.2145350319679733</v>
      </c>
      <c r="E319" s="307">
        <f t="shared" ca="1" si="125"/>
        <v>9.7288856177268119</v>
      </c>
      <c r="F319" s="304">
        <f t="shared" ca="1" si="126"/>
        <v>9.9777442726612815</v>
      </c>
      <c r="G319" s="306">
        <f t="shared" ca="1" si="127"/>
        <v>24.127909878902994</v>
      </c>
      <c r="H319" s="307">
        <f t="shared" ca="1" si="128"/>
        <v>212.78291769144846</v>
      </c>
      <c r="I319" s="304">
        <f t="shared" ca="1" si="129"/>
        <v>214.14650615036939</v>
      </c>
      <c r="J319" s="306">
        <f t="shared" ca="1" si="130"/>
        <v>42.167510255801822</v>
      </c>
      <c r="K319" s="307">
        <f t="shared" ca="1" si="131"/>
        <v>396.53097120884934</v>
      </c>
      <c r="L319" s="304">
        <f t="shared" ca="1" si="116"/>
        <v>398.76673638733519</v>
      </c>
      <c r="M319" s="306">
        <f t="shared" ca="1" si="132"/>
        <v>1.4578864643165201</v>
      </c>
      <c r="N319" s="304">
        <f t="shared" ca="1" si="133"/>
        <v>83.530741414586501</v>
      </c>
      <c r="P319" s="310">
        <f t="shared" ca="1" si="134"/>
        <v>8</v>
      </c>
      <c r="Q319" s="304">
        <f t="shared" ca="1" si="135"/>
        <v>270.91304347828031</v>
      </c>
      <c r="R319" s="306">
        <f t="shared" ca="1" si="136"/>
        <v>0.13595863421691121</v>
      </c>
      <c r="S319" s="307">
        <f t="shared" ca="1" si="137"/>
        <v>6.8799700360204783</v>
      </c>
      <c r="T319" s="304">
        <f t="shared" ca="1" si="117"/>
        <v>67.492506053360898</v>
      </c>
      <c r="U319" s="311">
        <f t="shared" ca="1" si="118"/>
        <v>0</v>
      </c>
      <c r="V319" s="306">
        <f t="shared" ca="1" si="119"/>
        <v>1.1773693082498675</v>
      </c>
      <c r="W319" s="304">
        <f t="shared" ca="1" si="120"/>
        <v>135.72223905358237</v>
      </c>
      <c r="Y319" s="314" t="str">
        <f t="shared" ca="1" si="138"/>
        <v/>
      </c>
      <c r="Z319" s="315" t="str">
        <f t="shared" ca="1" si="139"/>
        <v/>
      </c>
      <c r="AA319" s="316" t="str">
        <f t="shared" ca="1" si="140"/>
        <v/>
      </c>
      <c r="AC319" s="310" t="e">
        <f t="shared" ca="1" si="141"/>
        <v>#N/A</v>
      </c>
      <c r="AD319" s="323" t="e">
        <f t="shared" ca="1" si="142"/>
        <v>#N/A</v>
      </c>
      <c r="AE319" s="324">
        <f t="shared" ca="1" si="121"/>
        <v>396.53097120884934</v>
      </c>
      <c r="AG319" s="306">
        <f t="shared" ca="1" si="143"/>
        <v>9.9163913746386534</v>
      </c>
      <c r="AH319" s="304">
        <f t="shared" ca="1" si="144"/>
        <v>19.663982724525191</v>
      </c>
    </row>
    <row r="320" spans="1:34" x14ac:dyDescent="0.2">
      <c r="A320" s="347">
        <f t="shared" ca="1" si="122"/>
        <v>0.01</v>
      </c>
      <c r="B320" s="304">
        <f t="shared" ca="1" si="123"/>
        <v>3.1599999999999766</v>
      </c>
      <c r="D320" s="306">
        <f t="shared" ca="1" si="124"/>
        <v>2.0776470880108593</v>
      </c>
      <c r="E320" s="307">
        <f t="shared" ca="1" si="125"/>
        <v>8.5126732667235938</v>
      </c>
      <c r="F320" s="304">
        <f t="shared" ca="1" si="126"/>
        <v>8.7625466371546672</v>
      </c>
      <c r="G320" s="306">
        <f t="shared" ca="1" si="127"/>
        <v>24.148686349783102</v>
      </c>
      <c r="H320" s="307">
        <f t="shared" ca="1" si="128"/>
        <v>212.86804442411571</v>
      </c>
      <c r="I320" s="304">
        <f t="shared" ca="1" si="129"/>
        <v>214.23343200669569</v>
      </c>
      <c r="J320" s="306">
        <f t="shared" ca="1" si="130"/>
        <v>42.408893236945254</v>
      </c>
      <c r="K320" s="307">
        <f t="shared" ca="1" si="131"/>
        <v>398.65922601942714</v>
      </c>
      <c r="L320" s="304">
        <f t="shared" ca="1" si="116"/>
        <v>400.90858398890805</v>
      </c>
      <c r="M320" s="306">
        <f t="shared" ca="1" si="132"/>
        <v>1.4578348713534062</v>
      </c>
      <c r="N320" s="304">
        <f t="shared" ca="1" si="133"/>
        <v>83.527785355547493</v>
      </c>
      <c r="P320" s="310">
        <f t="shared" ca="1" si="134"/>
        <v>8</v>
      </c>
      <c r="Q320" s="304">
        <f t="shared" ca="1" si="135"/>
        <v>262.56521739132393</v>
      </c>
      <c r="R320" s="306">
        <f t="shared" ca="1" si="136"/>
        <v>0.13176924924344874</v>
      </c>
      <c r="S320" s="307">
        <f t="shared" ca="1" si="137"/>
        <v>6.878652343528044</v>
      </c>
      <c r="T320" s="304">
        <f t="shared" ca="1" si="117"/>
        <v>67.47957949001011</v>
      </c>
      <c r="U320" s="311">
        <f t="shared" ca="1" si="118"/>
        <v>0</v>
      </c>
      <c r="V320" s="306">
        <f t="shared" ca="1" si="119"/>
        <v>1.1771186616764622</v>
      </c>
      <c r="W320" s="304">
        <f t="shared" ca="1" si="120"/>
        <v>135.80352857703184</v>
      </c>
      <c r="Y320" s="314" t="str">
        <f t="shared" ca="1" si="138"/>
        <v/>
      </c>
      <c r="Z320" s="315" t="str">
        <f t="shared" ca="1" si="139"/>
        <v/>
      </c>
      <c r="AA320" s="316" t="str">
        <f t="shared" ca="1" si="140"/>
        <v/>
      </c>
      <c r="AC320" s="310" t="e">
        <f t="shared" ca="1" si="141"/>
        <v>#N/A</v>
      </c>
      <c r="AD320" s="323" t="e">
        <f t="shared" ca="1" si="142"/>
        <v>#N/A</v>
      </c>
      <c r="AE320" s="324">
        <f t="shared" ca="1" si="121"/>
        <v>398.65922601942714</v>
      </c>
      <c r="AG320" s="306">
        <f t="shared" ca="1" si="143"/>
        <v>8.6925571199374936</v>
      </c>
      <c r="AH320" s="304">
        <f t="shared" ca="1" si="144"/>
        <v>18.440091460224039</v>
      </c>
    </row>
    <row r="321" spans="1:34" x14ac:dyDescent="0.2">
      <c r="A321" s="347">
        <f t="shared" ca="1" si="122"/>
        <v>0.01</v>
      </c>
      <c r="B321" s="304">
        <f t="shared" ca="1" si="123"/>
        <v>3.1699999999999764</v>
      </c>
      <c r="D321" s="306">
        <f t="shared" ca="1" si="124"/>
        <v>1.9408233596608451</v>
      </c>
      <c r="E321" s="307">
        <f t="shared" ca="1" si="125"/>
        <v>7.2981468846588893</v>
      </c>
      <c r="F321" s="304">
        <f t="shared" ca="1" si="126"/>
        <v>7.5518039741151561</v>
      </c>
      <c r="G321" s="306">
        <f t="shared" ca="1" si="127"/>
        <v>24.168094583379709</v>
      </c>
      <c r="H321" s="307">
        <f t="shared" ca="1" si="128"/>
        <v>212.9410258929623</v>
      </c>
      <c r="I321" s="304">
        <f t="shared" ca="1" si="129"/>
        <v>214.30813634609962</v>
      </c>
      <c r="J321" s="306">
        <f t="shared" ca="1" si="130"/>
        <v>42.65047714161107</v>
      </c>
      <c r="K321" s="307">
        <f t="shared" ca="1" si="131"/>
        <v>400.78827137101251</v>
      </c>
      <c r="L321" s="304">
        <f t="shared" ca="1" si="116"/>
        <v>403.051239508045</v>
      </c>
      <c r="M321" s="306">
        <f t="shared" ca="1" si="132"/>
        <v>1.4577832729084244</v>
      </c>
      <c r="N321" s="304">
        <f t="shared" ca="1" si="133"/>
        <v>83.524828982420601</v>
      </c>
      <c r="P321" s="310">
        <f t="shared" ca="1" si="134"/>
        <v>8</v>
      </c>
      <c r="Q321" s="304">
        <f t="shared" ca="1" si="135"/>
        <v>254.2173913043676</v>
      </c>
      <c r="R321" s="306">
        <f t="shared" ca="1" si="136"/>
        <v>0.1275798642699863</v>
      </c>
      <c r="S321" s="307">
        <f t="shared" ca="1" si="137"/>
        <v>6.8773765448853439</v>
      </c>
      <c r="T321" s="304">
        <f t="shared" ca="1" si="117"/>
        <v>67.467063905325233</v>
      </c>
      <c r="U321" s="311">
        <f t="shared" ca="1" si="118"/>
        <v>0</v>
      </c>
      <c r="V321" s="306">
        <f t="shared" ca="1" si="119"/>
        <v>1.1768679743254358</v>
      </c>
      <c r="W321" s="304">
        <f t="shared" ca="1" si="120"/>
        <v>135.86931408360928</v>
      </c>
      <c r="Y321" s="314" t="str">
        <f t="shared" ca="1" si="138"/>
        <v/>
      </c>
      <c r="Z321" s="315" t="str">
        <f t="shared" ca="1" si="139"/>
        <v/>
      </c>
      <c r="AA321" s="316" t="str">
        <f t="shared" ca="1" si="140"/>
        <v/>
      </c>
      <c r="AC321" s="310" t="e">
        <f t="shared" ca="1" si="141"/>
        <v>#N/A</v>
      </c>
      <c r="AD321" s="323" t="e">
        <f t="shared" ca="1" si="142"/>
        <v>#N/A</v>
      </c>
      <c r="AE321" s="324">
        <f t="shared" ca="1" si="121"/>
        <v>400.78827137101251</v>
      </c>
      <c r="AG321" s="306">
        <f t="shared" ca="1" si="143"/>
        <v>7.4704054117008809</v>
      </c>
      <c r="AH321" s="304">
        <f t="shared" ca="1" si="144"/>
        <v>17.21788271363436</v>
      </c>
    </row>
    <row r="322" spans="1:34" x14ac:dyDescent="0.2">
      <c r="A322" s="347">
        <f t="shared" ca="1" si="122"/>
        <v>0.01</v>
      </c>
      <c r="B322" s="304">
        <f t="shared" ca="1" si="123"/>
        <v>3.1799999999999762</v>
      </c>
      <c r="D322" s="306">
        <f t="shared" ca="1" si="124"/>
        <v>1.8040665400697917</v>
      </c>
      <c r="E322" s="307">
        <f t="shared" ca="1" si="125"/>
        <v>6.0853275565966012</v>
      </c>
      <c r="F322" s="304">
        <f t="shared" ca="1" si="126"/>
        <v>6.3471148998638229</v>
      </c>
      <c r="G322" s="306">
        <f t="shared" ca="1" si="127"/>
        <v>24.186135248780406</v>
      </c>
      <c r="H322" s="307">
        <f t="shared" ca="1" si="128"/>
        <v>213.00187916852826</v>
      </c>
      <c r="I322" s="304">
        <f t="shared" ca="1" si="129"/>
        <v>214.37063620653973</v>
      </c>
      <c r="J322" s="306">
        <f t="shared" ca="1" si="130"/>
        <v>42.892248290771867</v>
      </c>
      <c r="K322" s="307">
        <f t="shared" ca="1" si="131"/>
        <v>402.91798589631998</v>
      </c>
      <c r="L322" s="304">
        <f t="shared" ca="1" si="116"/>
        <v>405.19458081542052</v>
      </c>
      <c r="M322" s="306">
        <f t="shared" ca="1" si="132"/>
        <v>1.4577316660451423</v>
      </c>
      <c r="N322" s="304">
        <f t="shared" ca="1" si="133"/>
        <v>83.521872126960631</v>
      </c>
      <c r="P322" s="310">
        <f t="shared" ca="1" si="134"/>
        <v>8</v>
      </c>
      <c r="Q322" s="304">
        <f t="shared" ca="1" si="135"/>
        <v>245.86956521741126</v>
      </c>
      <c r="R322" s="306">
        <f t="shared" ca="1" si="136"/>
        <v>0.12339047929652386</v>
      </c>
      <c r="S322" s="307">
        <f t="shared" ca="1" si="137"/>
        <v>6.8761426400923789</v>
      </c>
      <c r="T322" s="304">
        <f t="shared" ca="1" si="117"/>
        <v>67.454959299306239</v>
      </c>
      <c r="U322" s="311">
        <f t="shared" ca="1" si="118"/>
        <v>0</v>
      </c>
      <c r="V322" s="306">
        <f t="shared" ca="1" si="119"/>
        <v>1.1766172605247758</v>
      </c>
      <c r="W322" s="304">
        <f t="shared" ca="1" si="120"/>
        <v>135.91961249655648</v>
      </c>
      <c r="Y322" s="314" t="str">
        <f t="shared" ca="1" si="138"/>
        <v/>
      </c>
      <c r="Z322" s="315" t="str">
        <f t="shared" ca="1" si="139"/>
        <v/>
      </c>
      <c r="AA322" s="316" t="str">
        <f t="shared" ca="1" si="140"/>
        <v/>
      </c>
      <c r="AC322" s="310" t="e">
        <f t="shared" ca="1" si="141"/>
        <v>#N/A</v>
      </c>
      <c r="AD322" s="323" t="e">
        <f t="shared" ca="1" si="142"/>
        <v>#N/A</v>
      </c>
      <c r="AE322" s="324">
        <f t="shared" ca="1" si="121"/>
        <v>402.91798589631998</v>
      </c>
      <c r="AG322" s="306">
        <f t="shared" ca="1" si="143"/>
        <v>6.2499574976864309</v>
      </c>
      <c r="AH322" s="304">
        <f t="shared" ca="1" si="144"/>
        <v>15.997377729256089</v>
      </c>
    </row>
    <row r="323" spans="1:34" x14ac:dyDescent="0.2">
      <c r="A323" s="347">
        <f t="shared" ca="1" si="122"/>
        <v>0.01</v>
      </c>
      <c r="B323" s="304">
        <f t="shared" ca="1" si="123"/>
        <v>3.189999999999976</v>
      </c>
      <c r="D323" s="306">
        <f t="shared" ca="1" si="124"/>
        <v>1.6673792586812792</v>
      </c>
      <c r="E323" s="307">
        <f t="shared" ca="1" si="125"/>
        <v>4.8742358951767208</v>
      </c>
      <c r="F323" s="304">
        <f t="shared" ca="1" si="126"/>
        <v>5.1515365818471812</v>
      </c>
      <c r="G323" s="306">
        <f t="shared" ca="1" si="127"/>
        <v>24.202809041367217</v>
      </c>
      <c r="H323" s="307">
        <f t="shared" ca="1" si="128"/>
        <v>213.05062152748002</v>
      </c>
      <c r="I323" s="304">
        <f t="shared" ca="1" si="129"/>
        <v>214.42094883368654</v>
      </c>
      <c r="J323" s="306">
        <f t="shared" ca="1" si="130"/>
        <v>43.134193012222603</v>
      </c>
      <c r="K323" s="307">
        <f t="shared" ca="1" si="131"/>
        <v>405.0482483998</v>
      </c>
      <c r="L323" s="304">
        <f t="shared" ca="1" si="116"/>
        <v>407.33848595309746</v>
      </c>
      <c r="M323" s="306">
        <f t="shared" ca="1" si="132"/>
        <v>1.4576800478310745</v>
      </c>
      <c r="N323" s="304">
        <f t="shared" ca="1" si="133"/>
        <v>83.518914621148539</v>
      </c>
      <c r="P323" s="310">
        <f t="shared" ca="1" si="134"/>
        <v>8</v>
      </c>
      <c r="Q323" s="304">
        <f t="shared" ca="1" si="135"/>
        <v>237.5217391304549</v>
      </c>
      <c r="R323" s="306">
        <f t="shared" ca="1" si="136"/>
        <v>0.1192010943230614</v>
      </c>
      <c r="S323" s="307">
        <f t="shared" ca="1" si="137"/>
        <v>6.874950629149148</v>
      </c>
      <c r="T323" s="304">
        <f t="shared" ca="1" si="117"/>
        <v>67.443265671953142</v>
      </c>
      <c r="U323" s="311">
        <f t="shared" ca="1" si="118"/>
        <v>0</v>
      </c>
      <c r="V323" s="306">
        <f t="shared" ca="1" si="119"/>
        <v>1.17636653457032</v>
      </c>
      <c r="W323" s="304">
        <f t="shared" ca="1" si="120"/>
        <v>135.95444367087219</v>
      </c>
      <c r="Y323" s="314" t="str">
        <f t="shared" ca="1" si="138"/>
        <v/>
      </c>
      <c r="Z323" s="315" t="str">
        <f t="shared" ca="1" si="139"/>
        <v/>
      </c>
      <c r="AA323" s="316" t="str">
        <f t="shared" ca="1" si="140"/>
        <v/>
      </c>
      <c r="AC323" s="310" t="e">
        <f t="shared" ca="1" si="141"/>
        <v>#N/A</v>
      </c>
      <c r="AD323" s="323" t="e">
        <f t="shared" ca="1" si="142"/>
        <v>#N/A</v>
      </c>
      <c r="AE323" s="324">
        <f t="shared" ca="1" si="121"/>
        <v>405.0482483998</v>
      </c>
      <c r="AG323" s="306">
        <f t="shared" ca="1" si="143"/>
        <v>5.0312341490914907</v>
      </c>
      <c r="AH323" s="304">
        <f t="shared" ca="1" si="144"/>
        <v>14.778597275028405</v>
      </c>
    </row>
    <row r="324" spans="1:34" x14ac:dyDescent="0.2">
      <c r="A324" s="347">
        <f t="shared" ca="1" si="122"/>
        <v>0.01</v>
      </c>
      <c r="B324" s="304">
        <f t="shared" ca="1" si="123"/>
        <v>3.1999999999999758</v>
      </c>
      <c r="D324" s="306">
        <f t="shared" ca="1" si="124"/>
        <v>1.5307640813884844</v>
      </c>
      <c r="E324" s="307">
        <f t="shared" ca="1" si="125"/>
        <v>3.6648920422559179</v>
      </c>
      <c r="F324" s="304">
        <f t="shared" ca="1" si="126"/>
        <v>3.9717341746723034</v>
      </c>
      <c r="G324" s="306">
        <f t="shared" ca="1" si="127"/>
        <v>24.218116682181101</v>
      </c>
      <c r="H324" s="307">
        <f t="shared" ca="1" si="128"/>
        <v>213.08727044790257</v>
      </c>
      <c r="I324" s="304">
        <f t="shared" ca="1" si="129"/>
        <v>214.4590916761733</v>
      </c>
      <c r="J324" s="306">
        <f t="shared" ca="1" si="130"/>
        <v>43.376297640840342</v>
      </c>
      <c r="K324" s="307">
        <f t="shared" ca="1" si="131"/>
        <v>407.17893785967692</v>
      </c>
      <c r="L324" s="304">
        <f t="shared" ref="L324:L387" ca="1" si="145">SQRT(pos_x^2+pos_z^2)</f>
        <v>409.48283313658146</v>
      </c>
      <c r="M324" s="306">
        <f t="shared" ca="1" si="132"/>
        <v>1.4576284153367327</v>
      </c>
      <c r="N324" s="304">
        <f t="shared" ca="1" si="133"/>
        <v>83.515956297137024</v>
      </c>
      <c r="P324" s="310">
        <f t="shared" ca="1" si="134"/>
        <v>8</v>
      </c>
      <c r="Q324" s="304">
        <f t="shared" ca="1" si="135"/>
        <v>229.17391304349857</v>
      </c>
      <c r="R324" s="306">
        <f t="shared" ca="1" si="136"/>
        <v>0.11501170934959895</v>
      </c>
      <c r="S324" s="307">
        <f t="shared" ca="1" si="137"/>
        <v>6.8738005120556522</v>
      </c>
      <c r="T324" s="304">
        <f t="shared" ref="T324:T387" ca="1" si="146">m*g</f>
        <v>67.431983023265957</v>
      </c>
      <c r="U324" s="311">
        <f t="shared" ref="U324:U387" ca="1" si="147">IF(pos_xz&lt;L_rampe,Poids*COS(Beta),0)</f>
        <v>0</v>
      </c>
      <c r="V324" s="306">
        <f t="shared" ref="V324:V387" ca="1" si="148">Rho_moyen*(20000-Alt_rampe-pos_z)/(20000+Alt_rampe+pos_z)</f>
        <v>1.1761158107255352</v>
      </c>
      <c r="W324" s="304">
        <f t="shared" ref="W324:W387" ca="1" si="149">1/2*Rho*Sref*Cx*vit_xz^2</f>
        <v>135.97383037019782</v>
      </c>
      <c r="Y324" s="314" t="str">
        <f t="shared" ca="1" si="138"/>
        <v/>
      </c>
      <c r="Z324" s="315" t="str">
        <f t="shared" ca="1" si="139"/>
        <v/>
      </c>
      <c r="AA324" s="316" t="str">
        <f t="shared" ca="1" si="140"/>
        <v/>
      </c>
      <c r="AC324" s="310" t="e">
        <f t="shared" ca="1" si="141"/>
        <v>#N/A</v>
      </c>
      <c r="AD324" s="323" t="e">
        <f t="shared" ca="1" si="142"/>
        <v>#N/A</v>
      </c>
      <c r="AE324" s="324">
        <f t="shared" ref="AE324:AE387" ca="1" si="150">IF(t&lt;T_para, pos_z, NA())</f>
        <v>407.17893785967692</v>
      </c>
      <c r="AG324" s="306">
        <f t="shared" ca="1" si="143"/>
        <v>3.8142556621989865</v>
      </c>
      <c r="AH324" s="304">
        <f t="shared" ca="1" si="144"/>
        <v>13.561561643974525</v>
      </c>
    </row>
    <row r="325" spans="1:34" x14ac:dyDescent="0.2">
      <c r="A325" s="347">
        <f t="shared" ref="A325:A388" ca="1" si="151">IF(B324+0.01&lt;=T_ini+ROUNDUP(Temps_fin_propu,0), 0.01, IF(K324&gt;0, 0.1, 0.0001))</f>
        <v>0.01</v>
      </c>
      <c r="B325" s="304">
        <f t="shared" ref="B325:B388" ca="1" si="152">B324+pas</f>
        <v>3.2099999999999755</v>
      </c>
      <c r="D325" s="306">
        <f t="shared" ref="D325:D388" ca="1" si="153">IF(AND(L324&lt;L_rampe,Poussee&lt;Poids*SIN(M324)),0,(-W324+Poussee)/m*COS(M324)-U324/m*SIN(M324))</f>
        <v>1.4147307128040594</v>
      </c>
      <c r="E325" s="307">
        <f t="shared" ref="E325:E388" ca="1" si="154">IF(AND(L324&lt;L_rampe,Poussee&lt;Poids*SIN(M324)),0,(-W324+Poussee)/m*SIN(M324)+U324/m*COS(M324)-Poids/m)</f>
        <v>2.6377518201090329</v>
      </c>
      <c r="F325" s="304">
        <f t="shared" ref="F325:F388" ca="1" si="155">SQRT(acc_x^2+acc_z^2)</f>
        <v>2.9931918839659444</v>
      </c>
      <c r="G325" s="306">
        <f t="shared" ref="G325:G388" ca="1" si="156">G324+acc_x*pas</f>
        <v>24.232263989309143</v>
      </c>
      <c r="H325" s="307">
        <f t="shared" ref="H325:H388" ca="1" si="157">H324+acc_z*pas</f>
        <v>213.11364796610366</v>
      </c>
      <c r="I325" s="304">
        <f t="shared" ref="I325:I388" ca="1" si="158">SQRT(vit_x^2+vit_z^2)</f>
        <v>214.48689835854293</v>
      </c>
      <c r="J325" s="306">
        <f t="shared" ref="J325:J388" ca="1" si="159">J324+0.5*(vit_x+G324)*pas*(K324&gt;=0)</f>
        <v>43.618549544197791</v>
      </c>
      <c r="K325" s="307">
        <f t="shared" ref="K325:K388" ca="1" si="160">K324+0.5*(vit_z+H324)*pas</f>
        <v>409.30994245174696</v>
      </c>
      <c r="L325" s="304">
        <f t="shared" ca="1" si="145"/>
        <v>411.62750983649289</v>
      </c>
      <c r="M325" s="306">
        <f t="shared" ref="M325:M388" ca="1" si="161">IF(AND(L324&gt;L_rampe,G325&gt;0),ATAN2(G325,H325),$M$4)</f>
        <v>1.4575767660719767</v>
      </c>
      <c r="N325" s="304">
        <f t="shared" ref="N325:N388" ca="1" si="162">DEGREES(Beta)</f>
        <v>83.512997012251546</v>
      </c>
      <c r="P325" s="310">
        <f t="shared" ref="P325:P388" ca="1" si="163">MATCH(t-pas/2-T_ini,CdP_t)</f>
        <v>9</v>
      </c>
      <c r="Q325" s="304">
        <f t="shared" ref="Q325:Q388" ca="1" si="164">(INDEX(CdP,2,i_P+1)-INDEX(CdP,2,i_P+0))/(INDEX(CdP,1,i_P+1)-INDEX(CdP,1,i_P+0))*(t-pas/2-T_ini-INDEX(CdP,1,i_P+0))+INDEX(CdP,2,i_P+0)</f>
        <v>222.07407407408843</v>
      </c>
      <c r="R325" s="306">
        <f t="shared" ref="R325:R388" ca="1" si="165">Poussee/(g*ISP)</f>
        <v>0.11144863096456581</v>
      </c>
      <c r="S325" s="307">
        <f t="shared" ref="S325:S388" ca="1" si="166">S324-Débit*pas</f>
        <v>6.872686025746007</v>
      </c>
      <c r="T325" s="304">
        <f t="shared" ca="1" si="146"/>
        <v>67.421049912568336</v>
      </c>
      <c r="U325" s="311">
        <f t="shared" ca="1" si="147"/>
        <v>0</v>
      </c>
      <c r="V325" s="306">
        <f t="shared" ca="1" si="148"/>
        <v>1.1758651021600239</v>
      </c>
      <c r="W325" s="304">
        <f t="shared" ca="1" si="149"/>
        <v>135.98010069299619</v>
      </c>
      <c r="Y325" s="314" t="str">
        <f t="shared" ref="Y325:Y388" ca="1" si="167">IF(AND(pos_z&lt;=0,K324&gt;0),"Impact balistique","") &amp; IF(AND(H326&lt;0,vit_z&gt;=0),"Apogée","") &amp; IF(AND(Poussee=0,Q324&gt;0),"Fin de propulsion","") &amp; IF(AND(L326&gt;L_rampe,pos_xz&lt;=L_rampe),"Sortie de rampe","")</f>
        <v/>
      </c>
      <c r="Z325" s="315" t="str">
        <f t="shared" ref="Z325:Z388" ca="1" si="168">IF(ABS(t-T_para)&lt;pas/2,"Para","")</f>
        <v/>
      </c>
      <c r="AA325" s="316" t="str">
        <f t="shared" ref="AA325:AA388" ca="1" si="169">IF(ABS(t-T_satellite)&lt;pas/2,"Satellite","")</f>
        <v/>
      </c>
      <c r="AC325" s="310" t="e">
        <f t="shared" ref="AC325:AC388" ca="1" si="170">IF(ABS(t-ROUND(t,0))&lt;0.001,t,NA())</f>
        <v>#N/A</v>
      </c>
      <c r="AD325" s="323" t="e">
        <f t="shared" ref="AD325:AD388" ca="1" si="171">IF(ABS(t-ROUND(t,0))&lt;0.001,pos_x,NA())</f>
        <v>#N/A</v>
      </c>
      <c r="AE325" s="324">
        <f t="shared" ca="1" si="150"/>
        <v>409.30994245174696</v>
      </c>
      <c r="AG325" s="306">
        <f t="shared" ref="AG325:AG388" ca="1" si="172">IF(AND(L324&lt;L_rampe,Poussee&lt;Poids*SIN(M324)),0,(-W324+Poussee)/m-Poids*SIN(M324)/m)</f>
        <v>2.7806396282001433</v>
      </c>
      <c r="AH325" s="304">
        <f t="shared" ref="AH325:AH388" ca="1" si="173">IF(AND(L324&lt;L_rampe,Poussee&lt;Poids*SIN(M324)), g*SIN(M324), (-W324+Poussee)/m)</f>
        <v>12.527888424023374</v>
      </c>
    </row>
    <row r="326" spans="1:34" x14ac:dyDescent="0.2">
      <c r="A326" s="347">
        <f t="shared" ca="1" si="151"/>
        <v>0.01</v>
      </c>
      <c r="B326" s="304">
        <f t="shared" ca="1" si="152"/>
        <v>3.2199999999999753</v>
      </c>
      <c r="D326" s="306">
        <f t="shared" ca="1" si="153"/>
        <v>1.319282181295133</v>
      </c>
      <c r="E326" s="307">
        <f t="shared" ca="1" si="154"/>
        <v>1.7925905989025939</v>
      </c>
      <c r="F326" s="304">
        <f t="shared" ca="1" si="155"/>
        <v>2.2257328072248037</v>
      </c>
      <c r="G326" s="306">
        <f t="shared" ca="1" si="156"/>
        <v>24.245456811122093</v>
      </c>
      <c r="H326" s="307">
        <f t="shared" ca="1" si="157"/>
        <v>213.13157387209267</v>
      </c>
      <c r="I326" s="304">
        <f t="shared" ca="1" si="158"/>
        <v>214.50620027676425</v>
      </c>
      <c r="J326" s="306">
        <f t="shared" ca="1" si="159"/>
        <v>43.860938148199949</v>
      </c>
      <c r="K326" s="307">
        <f t="shared" ca="1" si="160"/>
        <v>411.44116856093797</v>
      </c>
      <c r="L326" s="304">
        <f t="shared" ca="1" si="145"/>
        <v>413.77242184808597</v>
      </c>
      <c r="M326" s="306">
        <f t="shared" ca="1" si="161"/>
        <v>1.4575250979852117</v>
      </c>
      <c r="N326" s="304">
        <f t="shared" ca="1" si="162"/>
        <v>83.510036648944393</v>
      </c>
      <c r="P326" s="310">
        <f t="shared" ca="1" si="163"/>
        <v>9</v>
      </c>
      <c r="Q326" s="304">
        <f t="shared" ca="1" si="164"/>
        <v>216.2222222222367</v>
      </c>
      <c r="R326" s="306">
        <f t="shared" ca="1" si="165"/>
        <v>0.1085118591679681</v>
      </c>
      <c r="S326" s="307">
        <f t="shared" ca="1" si="166"/>
        <v>6.8716009071543276</v>
      </c>
      <c r="T326" s="304">
        <f t="shared" ca="1" si="146"/>
        <v>67.410404899183959</v>
      </c>
      <c r="U326" s="311">
        <f t="shared" ca="1" si="147"/>
        <v>0</v>
      </c>
      <c r="V326" s="306">
        <f t="shared" ca="1" si="148"/>
        <v>1.1756144198907947</v>
      </c>
      <c r="W326" s="304">
        <f t="shared" ca="1" si="149"/>
        <v>135.9755810320151</v>
      </c>
      <c r="Y326" s="314" t="str">
        <f t="shared" ca="1" si="167"/>
        <v/>
      </c>
      <c r="Z326" s="315" t="str">
        <f t="shared" ca="1" si="168"/>
        <v/>
      </c>
      <c r="AA326" s="316" t="str">
        <f t="shared" ca="1" si="169"/>
        <v/>
      </c>
      <c r="AC326" s="310" t="e">
        <f t="shared" ca="1" si="170"/>
        <v>#N/A</v>
      </c>
      <c r="AD326" s="323" t="e">
        <f t="shared" ca="1" si="171"/>
        <v>#N/A</v>
      </c>
      <c r="AE326" s="324">
        <f t="shared" ca="1" si="150"/>
        <v>411.44116856093797</v>
      </c>
      <c r="AG326" s="306">
        <f t="shared" ca="1" si="172"/>
        <v>1.9301631899369589</v>
      </c>
      <c r="AH326" s="304">
        <f t="shared" ca="1" si="173"/>
        <v>11.677354755235696</v>
      </c>
    </row>
    <row r="327" spans="1:34" x14ac:dyDescent="0.2">
      <c r="A327" s="347">
        <f t="shared" ca="1" si="151"/>
        <v>0.01</v>
      </c>
      <c r="B327" s="304">
        <f t="shared" ca="1" si="152"/>
        <v>3.2299999999999751</v>
      </c>
      <c r="D327" s="306">
        <f t="shared" ca="1" si="153"/>
        <v>1.2238884637155856</v>
      </c>
      <c r="E327" s="307">
        <f t="shared" ca="1" si="154"/>
        <v>0.94868673243315271</v>
      </c>
      <c r="F327" s="304">
        <f t="shared" ca="1" si="155"/>
        <v>1.5485184816174422</v>
      </c>
      <c r="G327" s="306">
        <f t="shared" ca="1" si="156"/>
        <v>24.257695695759249</v>
      </c>
      <c r="H327" s="307">
        <f t="shared" ca="1" si="157"/>
        <v>213.14106073941701</v>
      </c>
      <c r="I327" s="304">
        <f t="shared" ca="1" si="158"/>
        <v>214.51700998660201</v>
      </c>
      <c r="J327" s="306">
        <f t="shared" ca="1" si="159"/>
        <v>44.103453910734359</v>
      </c>
      <c r="K327" s="307">
        <f t="shared" ca="1" si="160"/>
        <v>413.5725317339955</v>
      </c>
      <c r="L327" s="304">
        <f t="shared" ca="1" si="145"/>
        <v>415.91748418613395</v>
      </c>
      <c r="M327" s="306">
        <f t="shared" ca="1" si="161"/>
        <v>1.4574734090252508</v>
      </c>
      <c r="N327" s="304">
        <f t="shared" ca="1" si="162"/>
        <v>83.507075089691213</v>
      </c>
      <c r="P327" s="310">
        <f t="shared" ca="1" si="163"/>
        <v>9</v>
      </c>
      <c r="Q327" s="304">
        <f t="shared" ca="1" si="164"/>
        <v>210.37037037038499</v>
      </c>
      <c r="R327" s="306">
        <f t="shared" ca="1" si="165"/>
        <v>0.10557508737137039</v>
      </c>
      <c r="S327" s="307">
        <f t="shared" ca="1" si="166"/>
        <v>6.8705451562806141</v>
      </c>
      <c r="T327" s="304">
        <f t="shared" ca="1" si="146"/>
        <v>67.400047983112827</v>
      </c>
      <c r="U327" s="311">
        <f t="shared" ca="1" si="147"/>
        <v>0</v>
      </c>
      <c r="V327" s="306">
        <f t="shared" ca="1" si="148"/>
        <v>1.1753637738483484</v>
      </c>
      <c r="W327" s="304">
        <f t="shared" ca="1" si="149"/>
        <v>135.96029243790019</v>
      </c>
      <c r="Y327" s="314" t="str">
        <f t="shared" ca="1" si="167"/>
        <v/>
      </c>
      <c r="Z327" s="315" t="str">
        <f t="shared" ca="1" si="168"/>
        <v/>
      </c>
      <c r="AA327" s="316" t="str">
        <f t="shared" ca="1" si="169"/>
        <v/>
      </c>
      <c r="AC327" s="310" t="e">
        <f t="shared" ca="1" si="170"/>
        <v>#N/A</v>
      </c>
      <c r="AD327" s="323" t="e">
        <f t="shared" ca="1" si="171"/>
        <v>#N/A</v>
      </c>
      <c r="AE327" s="324">
        <f t="shared" ca="1" si="150"/>
        <v>413.5725317339955</v>
      </c>
      <c r="AG327" s="306">
        <f t="shared" ca="1" si="172"/>
        <v>1.0809423270028145</v>
      </c>
      <c r="AH327" s="304">
        <f t="shared" ca="1" si="173"/>
        <v>10.828076614904848</v>
      </c>
    </row>
    <row r="328" spans="1:34" x14ac:dyDescent="0.2">
      <c r="A328" s="347">
        <f t="shared" ca="1" si="151"/>
        <v>0.01</v>
      </c>
      <c r="B328" s="304">
        <f t="shared" ca="1" si="152"/>
        <v>3.2399999999999749</v>
      </c>
      <c r="D328" s="306">
        <f t="shared" ca="1" si="153"/>
        <v>1.1285506775204444</v>
      </c>
      <c r="E328" s="307">
        <f t="shared" ca="1" si="154"/>
        <v>0.10604856132096963</v>
      </c>
      <c r="F328" s="304">
        <f t="shared" ca="1" si="155"/>
        <v>1.1335223549141418</v>
      </c>
      <c r="G328" s="306">
        <f t="shared" ca="1" si="156"/>
        <v>24.268981202534455</v>
      </c>
      <c r="H328" s="307">
        <f t="shared" ca="1" si="157"/>
        <v>213.14212122503022</v>
      </c>
      <c r="I328" s="304">
        <f t="shared" ca="1" si="158"/>
        <v>214.51934012791119</v>
      </c>
      <c r="J328" s="306">
        <f t="shared" ca="1" si="159"/>
        <v>44.346087295225828</v>
      </c>
      <c r="K328" s="307">
        <f t="shared" ca="1" si="160"/>
        <v>415.70394764381774</v>
      </c>
      <c r="L328" s="304">
        <f t="shared" ca="1" si="145"/>
        <v>418.06261199137356</v>
      </c>
      <c r="M328" s="306">
        <f t="shared" ca="1" si="161"/>
        <v>1.4574216971408533</v>
      </c>
      <c r="N328" s="304">
        <f t="shared" ca="1" si="162"/>
        <v>83.504112216964572</v>
      </c>
      <c r="P328" s="310">
        <f t="shared" ca="1" si="163"/>
        <v>9</v>
      </c>
      <c r="Q328" s="304">
        <f t="shared" ca="1" si="164"/>
        <v>204.51851851853326</v>
      </c>
      <c r="R328" s="306">
        <f t="shared" ca="1" si="165"/>
        <v>0.10263831557477268</v>
      </c>
      <c r="S328" s="307">
        <f t="shared" ca="1" si="166"/>
        <v>6.8695187731248666</v>
      </c>
      <c r="T328" s="304">
        <f t="shared" ca="1" si="146"/>
        <v>67.389979164354941</v>
      </c>
      <c r="U328" s="311">
        <f t="shared" ca="1" si="147"/>
        <v>0</v>
      </c>
      <c r="V328" s="306">
        <f t="shared" ca="1" si="148"/>
        <v>1.1751131739400593</v>
      </c>
      <c r="W328" s="304">
        <f t="shared" ca="1" si="149"/>
        <v>135.93425733539087</v>
      </c>
      <c r="Y328" s="314" t="str">
        <f t="shared" ca="1" si="167"/>
        <v/>
      </c>
      <c r="Z328" s="315" t="str">
        <f t="shared" ca="1" si="168"/>
        <v/>
      </c>
      <c r="AA328" s="316" t="str">
        <f t="shared" ca="1" si="169"/>
        <v/>
      </c>
      <c r="AC328" s="310" t="e">
        <f t="shared" ca="1" si="170"/>
        <v>#N/A</v>
      </c>
      <c r="AD328" s="323" t="e">
        <f t="shared" ca="1" si="171"/>
        <v>#N/A</v>
      </c>
      <c r="AE328" s="324">
        <f t="shared" ca="1" si="150"/>
        <v>415.70394764381774</v>
      </c>
      <c r="AG328" s="306">
        <f t="shared" ca="1" si="172"/>
        <v>0.23298544840568169</v>
      </c>
      <c r="AH328" s="304">
        <f t="shared" ca="1" si="173"/>
        <v>9.9800624097350994</v>
      </c>
    </row>
    <row r="329" spans="1:34" x14ac:dyDescent="0.2">
      <c r="A329" s="347">
        <f t="shared" ca="1" si="151"/>
        <v>0.01</v>
      </c>
      <c r="B329" s="304">
        <f t="shared" ca="1" si="152"/>
        <v>3.2499999999999747</v>
      </c>
      <c r="D329" s="306">
        <f t="shared" ca="1" si="153"/>
        <v>1.0332699094052704</v>
      </c>
      <c r="E329" s="307">
        <f t="shared" ca="1" si="154"/>
        <v>-0.73531579918012469</v>
      </c>
      <c r="F329" s="304">
        <f t="shared" ca="1" si="155"/>
        <v>1.2682018885833128</v>
      </c>
      <c r="G329" s="306">
        <f t="shared" ca="1" si="156"/>
        <v>24.279313901628509</v>
      </c>
      <c r="H329" s="307">
        <f t="shared" ca="1" si="157"/>
        <v>213.13476806703841</v>
      </c>
      <c r="I329" s="304">
        <f t="shared" ca="1" si="158"/>
        <v>214.51320342236295</v>
      </c>
      <c r="J329" s="306">
        <f t="shared" ca="1" si="159"/>
        <v>44.588828770746645</v>
      </c>
      <c r="K329" s="307">
        <f t="shared" ca="1" si="160"/>
        <v>417.83533209027809</v>
      </c>
      <c r="L329" s="304">
        <f t="shared" ca="1" si="145"/>
        <v>420.20772053133425</v>
      </c>
      <c r="M329" s="306">
        <f t="shared" ca="1" si="161"/>
        <v>1.4573699602802641</v>
      </c>
      <c r="N329" s="304">
        <f t="shared" ca="1" si="162"/>
        <v>83.501147913207561</v>
      </c>
      <c r="P329" s="310">
        <f t="shared" ca="1" si="163"/>
        <v>9</v>
      </c>
      <c r="Q329" s="304">
        <f t="shared" ca="1" si="164"/>
        <v>198.66666666668152</v>
      </c>
      <c r="R329" s="306">
        <f t="shared" ca="1" si="165"/>
        <v>9.9701543778174959E-2</v>
      </c>
      <c r="S329" s="307">
        <f t="shared" ca="1" si="166"/>
        <v>6.8685217576870849</v>
      </c>
      <c r="T329" s="304">
        <f t="shared" ca="1" si="146"/>
        <v>67.380198442910313</v>
      </c>
      <c r="U329" s="311">
        <f t="shared" ca="1" si="147"/>
        <v>0</v>
      </c>
      <c r="V329" s="306">
        <f t="shared" ca="1" si="148"/>
        <v>1.1748626300500984</v>
      </c>
      <c r="W329" s="304">
        <f t="shared" ca="1" si="149"/>
        <v>135.89749951173707</v>
      </c>
      <c r="Y329" s="314" t="str">
        <f t="shared" ca="1" si="167"/>
        <v/>
      </c>
      <c r="Z329" s="315" t="str">
        <f t="shared" ca="1" si="168"/>
        <v/>
      </c>
      <c r="AA329" s="316" t="str">
        <f t="shared" ca="1" si="169"/>
        <v/>
      </c>
      <c r="AC329" s="310" t="e">
        <f t="shared" ca="1" si="170"/>
        <v>#N/A</v>
      </c>
      <c r="AD329" s="323" t="e">
        <f t="shared" ca="1" si="171"/>
        <v>#N/A</v>
      </c>
      <c r="AE329" s="324">
        <f t="shared" ca="1" si="150"/>
        <v>417.83533209027809</v>
      </c>
      <c r="AG329" s="306">
        <f t="shared" ca="1" si="172"/>
        <v>-0.6136992642273178</v>
      </c>
      <c r="AH329" s="304">
        <f t="shared" ca="1" si="173"/>
        <v>9.1333203190456587</v>
      </c>
    </row>
    <row r="330" spans="1:34" x14ac:dyDescent="0.2">
      <c r="A330" s="347">
        <f t="shared" ca="1" si="151"/>
        <v>0.01</v>
      </c>
      <c r="B330" s="304">
        <f t="shared" ca="1" si="152"/>
        <v>3.2599999999999745</v>
      </c>
      <c r="D330" s="306">
        <f t="shared" ca="1" si="153"/>
        <v>0.93804721541120706</v>
      </c>
      <c r="E330" s="307">
        <f t="shared" ca="1" si="154"/>
        <v>-1.57539845801867</v>
      </c>
      <c r="F330" s="304">
        <f t="shared" ca="1" si="155"/>
        <v>1.8335247148234253</v>
      </c>
      <c r="G330" s="306">
        <f t="shared" ca="1" si="156"/>
        <v>24.288694373782622</v>
      </c>
      <c r="H330" s="307">
        <f t="shared" ca="1" si="157"/>
        <v>213.11901408245822</v>
      </c>
      <c r="I330" s="304">
        <f t="shared" ca="1" si="158"/>
        <v>214.49861267118266</v>
      </c>
      <c r="J330" s="306">
        <f t="shared" ca="1" si="159"/>
        <v>44.831668812123702</v>
      </c>
      <c r="K330" s="307">
        <f t="shared" ca="1" si="160"/>
        <v>419.96660100102559</v>
      </c>
      <c r="L330" s="304">
        <f t="shared" ca="1" si="145"/>
        <v>422.3527252011458</v>
      </c>
      <c r="M330" s="306">
        <f t="shared" ca="1" si="161"/>
        <v>1.4573181963907507</v>
      </c>
      <c r="N330" s="304">
        <f t="shared" ca="1" si="162"/>
        <v>83.498182060807252</v>
      </c>
      <c r="P330" s="310">
        <f t="shared" ca="1" si="163"/>
        <v>9</v>
      </c>
      <c r="Q330" s="304">
        <f t="shared" ca="1" si="164"/>
        <v>192.81481481482979</v>
      </c>
      <c r="R330" s="306">
        <f t="shared" ca="1" si="165"/>
        <v>9.6764771981577249E-2</v>
      </c>
      <c r="S330" s="307">
        <f t="shared" ca="1" si="166"/>
        <v>6.8675541099672692</v>
      </c>
      <c r="T330" s="304">
        <f t="shared" ca="1" si="146"/>
        <v>67.370705818778916</v>
      </c>
      <c r="U330" s="311">
        <f t="shared" ca="1" si="147"/>
        <v>0</v>
      </c>
      <c r="V330" s="306">
        <f t="shared" ca="1" si="148"/>
        <v>1.1746121520393635</v>
      </c>
      <c r="W330" s="304">
        <f t="shared" ca="1" si="149"/>
        <v>135.85004410509819</v>
      </c>
      <c r="Y330" s="314" t="str">
        <f t="shared" ca="1" si="167"/>
        <v/>
      </c>
      <c r="Z330" s="315" t="str">
        <f t="shared" ca="1" si="168"/>
        <v/>
      </c>
      <c r="AA330" s="316" t="str">
        <f t="shared" ca="1" si="169"/>
        <v/>
      </c>
      <c r="AC330" s="310" t="e">
        <f t="shared" ca="1" si="170"/>
        <v>#N/A</v>
      </c>
      <c r="AD330" s="323" t="e">
        <f t="shared" ca="1" si="171"/>
        <v>#N/A</v>
      </c>
      <c r="AE330" s="324">
        <f t="shared" ca="1" si="150"/>
        <v>419.96660100102559</v>
      </c>
      <c r="AG330" s="306">
        <f t="shared" ca="1" si="172"/>
        <v>-1.4591038554824571</v>
      </c>
      <c r="AH330" s="304">
        <f t="shared" ca="1" si="173"/>
        <v>8.2878582959376192</v>
      </c>
    </row>
    <row r="331" spans="1:34" x14ac:dyDescent="0.2">
      <c r="A331" s="347">
        <f t="shared" ca="1" si="151"/>
        <v>0.01</v>
      </c>
      <c r="B331" s="304">
        <f t="shared" ca="1" si="152"/>
        <v>3.2699999999999743</v>
      </c>
      <c r="D331" s="306">
        <f t="shared" ca="1" si="153"/>
        <v>0.84288362103039782</v>
      </c>
      <c r="E331" s="307">
        <f t="shared" ca="1" si="154"/>
        <v>-2.414191747163259</v>
      </c>
      <c r="F331" s="304">
        <f t="shared" ca="1" si="155"/>
        <v>2.5571027728021618</v>
      </c>
      <c r="G331" s="306">
        <f t="shared" ca="1" si="156"/>
        <v>24.297123209992925</v>
      </c>
      <c r="H331" s="307">
        <f t="shared" ca="1" si="157"/>
        <v>213.09487216498658</v>
      </c>
      <c r="I331" s="304">
        <f t="shared" ca="1" si="158"/>
        <v>214.47558075289959</v>
      </c>
      <c r="J331" s="306">
        <f t="shared" ca="1" si="159"/>
        <v>45.074597900042583</v>
      </c>
      <c r="K331" s="307">
        <f t="shared" ca="1" si="160"/>
        <v>422.09767043226282</v>
      </c>
      <c r="L331" s="304">
        <f t="shared" ca="1" si="145"/>
        <v>424.49754152432223</v>
      </c>
      <c r="M331" s="306">
        <f t="shared" ca="1" si="161"/>
        <v>1.4572664034181428</v>
      </c>
      <c r="N331" s="304">
        <f t="shared" ca="1" si="162"/>
        <v>83.495214542068382</v>
      </c>
      <c r="P331" s="310">
        <f t="shared" ca="1" si="163"/>
        <v>9</v>
      </c>
      <c r="Q331" s="304">
        <f t="shared" ca="1" si="164"/>
        <v>186.96296296297808</v>
      </c>
      <c r="R331" s="306">
        <f t="shared" ca="1" si="165"/>
        <v>9.382800018497954E-2</v>
      </c>
      <c r="S331" s="307">
        <f t="shared" ca="1" si="166"/>
        <v>6.8666158299654194</v>
      </c>
      <c r="T331" s="304">
        <f t="shared" ca="1" si="146"/>
        <v>67.361501291960764</v>
      </c>
      <c r="U331" s="311">
        <f t="shared" ca="1" si="147"/>
        <v>0</v>
      </c>
      <c r="V331" s="306">
        <f t="shared" ca="1" si="148"/>
        <v>1.1743617497454093</v>
      </c>
      <c r="W331" s="304">
        <f t="shared" ca="1" si="149"/>
        <v>135.7919175929255</v>
      </c>
      <c r="Y331" s="314" t="str">
        <f t="shared" ca="1" si="167"/>
        <v/>
      </c>
      <c r="Z331" s="315" t="str">
        <f t="shared" ca="1" si="168"/>
        <v/>
      </c>
      <c r="AA331" s="316" t="str">
        <f t="shared" ca="1" si="169"/>
        <v/>
      </c>
      <c r="AC331" s="310" t="e">
        <f t="shared" ca="1" si="170"/>
        <v>#N/A</v>
      </c>
      <c r="AD331" s="323" t="e">
        <f t="shared" ca="1" si="171"/>
        <v>#N/A</v>
      </c>
      <c r="AE331" s="324">
        <f t="shared" ca="1" si="150"/>
        <v>422.09767043226282</v>
      </c>
      <c r="AG331" s="306">
        <f t="shared" ca="1" si="172"/>
        <v>-2.3032205949737552</v>
      </c>
      <c r="AH331" s="304">
        <f t="shared" ca="1" si="173"/>
        <v>7.4436840684790866</v>
      </c>
    </row>
    <row r="332" spans="1:34" x14ac:dyDescent="0.2">
      <c r="A332" s="347">
        <f t="shared" ca="1" si="151"/>
        <v>0.01</v>
      </c>
      <c r="B332" s="304">
        <f t="shared" ca="1" si="152"/>
        <v>3.279999999999974</v>
      </c>
      <c r="D332" s="306">
        <f t="shared" ca="1" si="153"/>
        <v>0.74778012131169647</v>
      </c>
      <c r="E332" s="307">
        <f t="shared" ca="1" si="154"/>
        <v>-3.2516882204022695</v>
      </c>
      <c r="F332" s="304">
        <f t="shared" ca="1" si="155"/>
        <v>3.336562811117425</v>
      </c>
      <c r="G332" s="306">
        <f t="shared" ca="1" si="156"/>
        <v>24.304601011206042</v>
      </c>
      <c r="H332" s="307">
        <f t="shared" ca="1" si="157"/>
        <v>213.06235528278256</v>
      </c>
      <c r="I332" s="304">
        <f t="shared" ca="1" si="158"/>
        <v>214.44412062110862</v>
      </c>
      <c r="J332" s="306">
        <f t="shared" ca="1" si="159"/>
        <v>45.317606521148576</v>
      </c>
      <c r="K332" s="307">
        <f t="shared" ca="1" si="160"/>
        <v>424.22845656950165</v>
      </c>
      <c r="L332" s="304">
        <f t="shared" ca="1" si="145"/>
        <v>426.64208515352448</v>
      </c>
      <c r="M332" s="306">
        <f t="shared" ca="1" si="161"/>
        <v>1.4572145793063718</v>
      </c>
      <c r="N332" s="304">
        <f t="shared" ca="1" si="162"/>
        <v>83.492245239186886</v>
      </c>
      <c r="P332" s="310">
        <f t="shared" ca="1" si="163"/>
        <v>9</v>
      </c>
      <c r="Q332" s="304">
        <f t="shared" ca="1" si="164"/>
        <v>181.11111111112635</v>
      </c>
      <c r="R332" s="306">
        <f t="shared" ca="1" si="165"/>
        <v>9.0891228388381831E-2</v>
      </c>
      <c r="S332" s="307">
        <f t="shared" ca="1" si="166"/>
        <v>6.8657069176815355</v>
      </c>
      <c r="T332" s="304">
        <f t="shared" ca="1" si="146"/>
        <v>67.352584862455871</v>
      </c>
      <c r="U332" s="311">
        <f t="shared" ca="1" si="147"/>
        <v>0</v>
      </c>
      <c r="V332" s="306">
        <f t="shared" ca="1" si="148"/>
        <v>1.1741114329823821</v>
      </c>
      <c r="W332" s="304">
        <f t="shared" ca="1" si="149"/>
        <v>135.72314778033225</v>
      </c>
      <c r="Y332" s="314" t="str">
        <f t="shared" ca="1" si="167"/>
        <v/>
      </c>
      <c r="Z332" s="315" t="str">
        <f t="shared" ca="1" si="168"/>
        <v/>
      </c>
      <c r="AA332" s="316" t="str">
        <f t="shared" ca="1" si="169"/>
        <v/>
      </c>
      <c r="AC332" s="310" t="e">
        <f t="shared" ca="1" si="170"/>
        <v>#N/A</v>
      </c>
      <c r="AD332" s="323" t="e">
        <f t="shared" ca="1" si="171"/>
        <v>#N/A</v>
      </c>
      <c r="AE332" s="324">
        <f t="shared" ca="1" si="150"/>
        <v>424.22845656950165</v>
      </c>
      <c r="AG332" s="306">
        <f t="shared" ca="1" si="172"/>
        <v>-3.1460419761395055</v>
      </c>
      <c r="AH332" s="304">
        <f t="shared" ca="1" si="173"/>
        <v>6.6008051409081379</v>
      </c>
    </row>
    <row r="333" spans="1:34" x14ac:dyDescent="0.2">
      <c r="A333" s="347">
        <f t="shared" ca="1" si="151"/>
        <v>0.01</v>
      </c>
      <c r="B333" s="304">
        <f t="shared" ca="1" si="152"/>
        <v>3.2899999999999738</v>
      </c>
      <c r="D333" s="306">
        <f t="shared" ca="1" si="153"/>
        <v>0.65273768096662899</v>
      </c>
      <c r="E333" s="307">
        <f t="shared" ca="1" si="154"/>
        <v>-4.0878806521263531</v>
      </c>
      <c r="F333" s="304">
        <f t="shared" ca="1" si="155"/>
        <v>4.1396660138449182</v>
      </c>
      <c r="G333" s="306">
        <f t="shared" ca="1" si="156"/>
        <v>24.311128388015707</v>
      </c>
      <c r="H333" s="307">
        <f t="shared" ca="1" si="157"/>
        <v>213.02147647626128</v>
      </c>
      <c r="I333" s="304">
        <f t="shared" ca="1" si="158"/>
        <v>214.40424530224425</v>
      </c>
      <c r="J333" s="306">
        <f t="shared" ca="1" si="159"/>
        <v>45.560685168144687</v>
      </c>
      <c r="K333" s="307">
        <f t="shared" ca="1" si="160"/>
        <v>426.35887572829688</v>
      </c>
      <c r="L333" s="304">
        <f t="shared" ca="1" si="145"/>
        <v>428.78627187129968</v>
      </c>
      <c r="M333" s="306">
        <f t="shared" ca="1" si="161"/>
        <v>1.4571627219970069</v>
      </c>
      <c r="N333" s="304">
        <f t="shared" ca="1" si="162"/>
        <v>83.489274034223385</v>
      </c>
      <c r="P333" s="310">
        <f t="shared" ca="1" si="163"/>
        <v>9</v>
      </c>
      <c r="Q333" s="304">
        <f t="shared" ca="1" si="164"/>
        <v>175.25925925927461</v>
      </c>
      <c r="R333" s="306">
        <f t="shared" ca="1" si="165"/>
        <v>8.7954456591784108E-2</v>
      </c>
      <c r="S333" s="307">
        <f t="shared" ca="1" si="166"/>
        <v>6.8648273731156175</v>
      </c>
      <c r="T333" s="304">
        <f t="shared" ca="1" si="146"/>
        <v>67.343956530264208</v>
      </c>
      <c r="U333" s="311">
        <f t="shared" ca="1" si="147"/>
        <v>0</v>
      </c>
      <c r="V333" s="306">
        <f t="shared" ca="1" si="148"/>
        <v>1.173861211540959</v>
      </c>
      <c r="W333" s="304">
        <f t="shared" ca="1" si="149"/>
        <v>135.64376378845444</v>
      </c>
      <c r="Y333" s="314" t="str">
        <f t="shared" ca="1" si="167"/>
        <v/>
      </c>
      <c r="Z333" s="315" t="str">
        <f t="shared" ca="1" si="168"/>
        <v/>
      </c>
      <c r="AA333" s="316" t="str">
        <f t="shared" ca="1" si="169"/>
        <v/>
      </c>
      <c r="AC333" s="310" t="e">
        <f t="shared" ca="1" si="170"/>
        <v>#N/A</v>
      </c>
      <c r="AD333" s="323" t="e">
        <f t="shared" ca="1" si="171"/>
        <v>#N/A</v>
      </c>
      <c r="AE333" s="324">
        <f t="shared" ca="1" si="150"/>
        <v>426.35887572829688</v>
      </c>
      <c r="AG333" s="306">
        <f t="shared" ca="1" si="172"/>
        <v>-3.9875607150215906</v>
      </c>
      <c r="AH333" s="304">
        <f t="shared" ca="1" si="173"/>
        <v>5.759228794852973</v>
      </c>
    </row>
    <row r="334" spans="1:34" x14ac:dyDescent="0.2">
      <c r="A334" s="347">
        <f t="shared" ca="1" si="151"/>
        <v>0.01</v>
      </c>
      <c r="B334" s="304">
        <f t="shared" ca="1" si="152"/>
        <v>3.2999999999999736</v>
      </c>
      <c r="D334" s="306">
        <f t="shared" ca="1" si="153"/>
        <v>0.55775723447554992</v>
      </c>
      <c r="E334" s="307">
        <f t="shared" ca="1" si="154"/>
        <v>-4.9227620360942241</v>
      </c>
      <c r="F334" s="304">
        <f t="shared" ca="1" si="155"/>
        <v>4.9542586929449257</v>
      </c>
      <c r="G334" s="306">
        <f t="shared" ca="1" si="156"/>
        <v>24.316705960360462</v>
      </c>
      <c r="H334" s="307">
        <f t="shared" ca="1" si="157"/>
        <v>212.97224885590035</v>
      </c>
      <c r="I334" s="304">
        <f t="shared" ca="1" si="158"/>
        <v>214.35596789336699</v>
      </c>
      <c r="J334" s="306">
        <f t="shared" ca="1" si="159"/>
        <v>45.803824339886567</v>
      </c>
      <c r="K334" s="307">
        <f t="shared" ca="1" si="160"/>
        <v>428.48884435495768</v>
      </c>
      <c r="L334" s="304">
        <f t="shared" ca="1" si="145"/>
        <v>430.93001759079903</v>
      </c>
      <c r="M334" s="306">
        <f t="shared" ca="1" si="161"/>
        <v>1.4571108294287949</v>
      </c>
      <c r="N334" s="304">
        <f t="shared" ca="1" si="162"/>
        <v>83.486300809076738</v>
      </c>
      <c r="P334" s="310">
        <f t="shared" ca="1" si="163"/>
        <v>9</v>
      </c>
      <c r="Q334" s="304">
        <f t="shared" ca="1" si="164"/>
        <v>169.40740740742291</v>
      </c>
      <c r="R334" s="306">
        <f t="shared" ca="1" si="165"/>
        <v>8.5017684795186413E-2</v>
      </c>
      <c r="S334" s="307">
        <f t="shared" ca="1" si="166"/>
        <v>6.8639771962676654</v>
      </c>
      <c r="T334" s="304">
        <f t="shared" ca="1" si="146"/>
        <v>67.335616295385805</v>
      </c>
      <c r="U334" s="311">
        <f t="shared" ca="1" si="147"/>
        <v>0</v>
      </c>
      <c r="V334" s="306">
        <f t="shared" ca="1" si="148"/>
        <v>1.1736110951882897</v>
      </c>
      <c r="W334" s="304">
        <f t="shared" ca="1" si="149"/>
        <v>135.55379604280586</v>
      </c>
      <c r="Y334" s="314" t="str">
        <f t="shared" ca="1" si="167"/>
        <v/>
      </c>
      <c r="Z334" s="315" t="str">
        <f t="shared" ca="1" si="168"/>
        <v/>
      </c>
      <c r="AA334" s="316" t="str">
        <f t="shared" ca="1" si="169"/>
        <v/>
      </c>
      <c r="AC334" s="310" t="e">
        <f t="shared" ca="1" si="170"/>
        <v>#N/A</v>
      </c>
      <c r="AD334" s="323" t="e">
        <f t="shared" ca="1" si="171"/>
        <v>#N/A</v>
      </c>
      <c r="AE334" s="324">
        <f t="shared" ca="1" si="150"/>
        <v>428.48884435495768</v>
      </c>
      <c r="AG334" s="306">
        <f t="shared" ca="1" si="172"/>
        <v>-4.8277697490282083</v>
      </c>
      <c r="AH334" s="304">
        <f t="shared" ca="1" si="173"/>
        <v>4.9189620905686695</v>
      </c>
    </row>
    <row r="335" spans="1:34" x14ac:dyDescent="0.2">
      <c r="A335" s="347">
        <f t="shared" ca="1" si="151"/>
        <v>0.01</v>
      </c>
      <c r="B335" s="304">
        <f t="shared" ca="1" si="152"/>
        <v>3.3099999999999734</v>
      </c>
      <c r="D335" s="306">
        <f t="shared" ca="1" si="153"/>
        <v>0.46283968619389981</v>
      </c>
      <c r="E335" s="307">
        <f t="shared" ca="1" si="154"/>
        <v>-5.7563255841823349</v>
      </c>
      <c r="F335" s="304">
        <f t="shared" ca="1" si="155"/>
        <v>5.774903012711829</v>
      </c>
      <c r="G335" s="306">
        <f t="shared" ca="1" si="156"/>
        <v>24.321334357222401</v>
      </c>
      <c r="H335" s="307">
        <f t="shared" ca="1" si="157"/>
        <v>212.91468560005853</v>
      </c>
      <c r="I335" s="304">
        <f t="shared" ca="1" si="158"/>
        <v>214.29930155996212</v>
      </c>
      <c r="J335" s="306">
        <f t="shared" ca="1" si="159"/>
        <v>46.047014541474482</v>
      </c>
      <c r="K335" s="307">
        <f t="shared" ca="1" si="160"/>
        <v>430.61827902723746</v>
      </c>
      <c r="L335" s="304">
        <f t="shared" ca="1" si="145"/>
        <v>433.07323835647304</v>
      </c>
      <c r="M335" s="306">
        <f t="shared" ca="1" si="161"/>
        <v>1.4570588995371943</v>
      </c>
      <c r="N335" s="304">
        <f t="shared" ca="1" si="162"/>
        <v>83.483325445457453</v>
      </c>
      <c r="P335" s="310">
        <f t="shared" ca="1" si="163"/>
        <v>9</v>
      </c>
      <c r="Q335" s="304">
        <f t="shared" ca="1" si="164"/>
        <v>163.55555555557117</v>
      </c>
      <c r="R335" s="306">
        <f t="shared" ca="1" si="165"/>
        <v>8.208091299858869E-2</v>
      </c>
      <c r="S335" s="307">
        <f t="shared" ca="1" si="166"/>
        <v>6.8631563871376793</v>
      </c>
      <c r="T335" s="304">
        <f t="shared" ca="1" si="146"/>
        <v>67.327564157820632</v>
      </c>
      <c r="U335" s="311">
        <f t="shared" ca="1" si="147"/>
        <v>0</v>
      </c>
      <c r="V335" s="306">
        <f t="shared" ca="1" si="148"/>
        <v>1.1733610936679417</v>
      </c>
      <c r="W335" s="304">
        <f t="shared" ca="1" si="149"/>
        <v>135.45327626162924</v>
      </c>
      <c r="Y335" s="314" t="str">
        <f t="shared" ca="1" si="167"/>
        <v/>
      </c>
      <c r="Z335" s="315" t="str">
        <f t="shared" ca="1" si="168"/>
        <v/>
      </c>
      <c r="AA335" s="316" t="str">
        <f t="shared" ca="1" si="169"/>
        <v/>
      </c>
      <c r="AC335" s="310" t="e">
        <f t="shared" ca="1" si="170"/>
        <v>#N/A</v>
      </c>
      <c r="AD335" s="323" t="e">
        <f t="shared" ca="1" si="171"/>
        <v>#N/A</v>
      </c>
      <c r="AE335" s="324">
        <f t="shared" ca="1" si="150"/>
        <v>430.61827902723746</v>
      </c>
      <c r="AG335" s="306">
        <f t="shared" ca="1" si="172"/>
        <v>-5.6666622356805894</v>
      </c>
      <c r="AH335" s="304">
        <f t="shared" ca="1" si="173"/>
        <v>4.0800118681899393</v>
      </c>
    </row>
    <row r="336" spans="1:34" x14ac:dyDescent="0.2">
      <c r="A336" s="347">
        <f t="shared" ca="1" si="151"/>
        <v>0.01</v>
      </c>
      <c r="B336" s="304">
        <f t="shared" ca="1" si="152"/>
        <v>3.3199999999999732</v>
      </c>
      <c r="D336" s="306">
        <f t="shared" ca="1" si="153"/>
        <v>0.36798591045856544</v>
      </c>
      <c r="E336" s="307">
        <f t="shared" ca="1" si="154"/>
        <v>-6.5885647251187809</v>
      </c>
      <c r="F336" s="304">
        <f t="shared" ca="1" si="155"/>
        <v>6.5988331368034716</v>
      </c>
      <c r="G336" s="306">
        <f t="shared" ca="1" si="156"/>
        <v>24.325014216326988</v>
      </c>
      <c r="H336" s="307">
        <f t="shared" ca="1" si="157"/>
        <v>212.84879995280735</v>
      </c>
      <c r="I336" s="304">
        <f t="shared" ca="1" si="158"/>
        <v>214.23425953375133</v>
      </c>
      <c r="J336" s="306">
        <f t="shared" ca="1" si="159"/>
        <v>46.290246284342231</v>
      </c>
      <c r="K336" s="307">
        <f t="shared" ca="1" si="160"/>
        <v>432.74709645500178</v>
      </c>
      <c r="L336" s="304">
        <f t="shared" ca="1" si="145"/>
        <v>435.21585034474521</v>
      </c>
      <c r="M336" s="306">
        <f t="shared" ca="1" si="161"/>
        <v>1.4570069302539124</v>
      </c>
      <c r="N336" s="304">
        <f t="shared" ca="1" si="162"/>
        <v>83.48034782486107</v>
      </c>
      <c r="P336" s="310">
        <f t="shared" ca="1" si="163"/>
        <v>9</v>
      </c>
      <c r="Q336" s="304">
        <f t="shared" ca="1" si="164"/>
        <v>157.70370370371944</v>
      </c>
      <c r="R336" s="306">
        <f t="shared" ca="1" si="165"/>
        <v>7.9144141201990981E-2</v>
      </c>
      <c r="S336" s="307">
        <f t="shared" ca="1" si="166"/>
        <v>6.862364945725659</v>
      </c>
      <c r="T336" s="304">
        <f t="shared" ca="1" si="146"/>
        <v>67.319800117568718</v>
      </c>
      <c r="U336" s="311">
        <f t="shared" ca="1" si="147"/>
        <v>0</v>
      </c>
      <c r="V336" s="306">
        <f t="shared" ca="1" si="148"/>
        <v>1.1731112166998487</v>
      </c>
      <c r="W336" s="304">
        <f t="shared" ca="1" si="149"/>
        <v>135.34223744424818</v>
      </c>
      <c r="Y336" s="314" t="str">
        <f t="shared" ca="1" si="167"/>
        <v/>
      </c>
      <c r="Z336" s="315" t="str">
        <f t="shared" ca="1" si="168"/>
        <v/>
      </c>
      <c r="AA336" s="316" t="str">
        <f t="shared" ca="1" si="169"/>
        <v/>
      </c>
      <c r="AC336" s="310" t="e">
        <f t="shared" ca="1" si="170"/>
        <v>#N/A</v>
      </c>
      <c r="AD336" s="323" t="e">
        <f t="shared" ca="1" si="171"/>
        <v>#N/A</v>
      </c>
      <c r="AE336" s="324">
        <f t="shared" ca="1" si="150"/>
        <v>432.74709645500178</v>
      </c>
      <c r="AG336" s="306">
        <f t="shared" ca="1" si="172"/>
        <v>-6.5042315513440165</v>
      </c>
      <c r="AH336" s="304">
        <f t="shared" ca="1" si="173"/>
        <v>3.2423847489995787</v>
      </c>
    </row>
    <row r="337" spans="1:34" x14ac:dyDescent="0.2">
      <c r="A337" s="347">
        <f t="shared" ca="1" si="151"/>
        <v>0.01</v>
      </c>
      <c r="B337" s="304">
        <f t="shared" ca="1" si="152"/>
        <v>3.329999999999973</v>
      </c>
      <c r="D337" s="306">
        <f t="shared" ca="1" si="153"/>
        <v>0.27319675169420599</v>
      </c>
      <c r="E337" s="307">
        <f t="shared" ca="1" si="154"/>
        <v>-7.419473103202268</v>
      </c>
      <c r="F337" s="304">
        <f t="shared" ca="1" si="155"/>
        <v>7.4245011680434239</v>
      </c>
      <c r="G337" s="306">
        <f t="shared" ca="1" si="156"/>
        <v>24.327746183843932</v>
      </c>
      <c r="H337" s="307">
        <f t="shared" ca="1" si="157"/>
        <v>212.77460522177535</v>
      </c>
      <c r="I337" s="304">
        <f t="shared" ca="1" si="158"/>
        <v>214.16085511051705</v>
      </c>
      <c r="J337" s="306">
        <f t="shared" ca="1" si="159"/>
        <v>46.533510086343085</v>
      </c>
      <c r="K337" s="307">
        <f t="shared" ca="1" si="160"/>
        <v>434.87521348087472</v>
      </c>
      <c r="L337" s="304">
        <f t="shared" ca="1" si="145"/>
        <v>437.35776986466374</v>
      </c>
      <c r="M337" s="306">
        <f t="shared" ca="1" si="161"/>
        <v>1.4569549195064382</v>
      </c>
      <c r="N337" s="304">
        <f t="shared" ca="1" si="162"/>
        <v>83.477367828541489</v>
      </c>
      <c r="P337" s="310">
        <f t="shared" ca="1" si="163"/>
        <v>9</v>
      </c>
      <c r="Q337" s="304">
        <f t="shared" ca="1" si="164"/>
        <v>151.85185185186771</v>
      </c>
      <c r="R337" s="306">
        <f t="shared" ca="1" si="165"/>
        <v>7.6207369405393258E-2</v>
      </c>
      <c r="S337" s="307">
        <f t="shared" ca="1" si="166"/>
        <v>6.8616028720316047</v>
      </c>
      <c r="T337" s="304">
        <f t="shared" ca="1" si="146"/>
        <v>67.312324174630049</v>
      </c>
      <c r="U337" s="311">
        <f t="shared" ca="1" si="147"/>
        <v>0</v>
      </c>
      <c r="V337" s="306">
        <f t="shared" ca="1" si="148"/>
        <v>1.1728614739802636</v>
      </c>
      <c r="W337" s="304">
        <f t="shared" ca="1" si="149"/>
        <v>135.22071385942149</v>
      </c>
      <c r="Y337" s="314" t="str">
        <f t="shared" ca="1" si="167"/>
        <v/>
      </c>
      <c r="Z337" s="315" t="str">
        <f t="shared" ca="1" si="168"/>
        <v/>
      </c>
      <c r="AA337" s="316" t="str">
        <f t="shared" ca="1" si="169"/>
        <v/>
      </c>
      <c r="AC337" s="310" t="e">
        <f t="shared" ca="1" si="170"/>
        <v>#N/A</v>
      </c>
      <c r="AD337" s="323" t="e">
        <f t="shared" ca="1" si="171"/>
        <v>#N/A</v>
      </c>
      <c r="AE337" s="324">
        <f t="shared" ca="1" si="150"/>
        <v>434.87521348087472</v>
      </c>
      <c r="AG337" s="306">
        <f t="shared" ca="1" si="172"/>
        <v>-7.3404712899440252</v>
      </c>
      <c r="AH337" s="304">
        <f t="shared" ca="1" si="173"/>
        <v>2.4060871367117325</v>
      </c>
    </row>
    <row r="338" spans="1:34" x14ac:dyDescent="0.2">
      <c r="A338" s="347">
        <f t="shared" ca="1" si="151"/>
        <v>0.01</v>
      </c>
      <c r="B338" s="304">
        <f t="shared" ca="1" si="152"/>
        <v>3.3399999999999728</v>
      </c>
      <c r="D338" s="306">
        <f t="shared" ca="1" si="153"/>
        <v>0.17847302451954242</v>
      </c>
      <c r="E338" s="307">
        <f t="shared" ca="1" si="154"/>
        <v>-8.2490445770064476</v>
      </c>
      <c r="F338" s="304">
        <f t="shared" ca="1" si="155"/>
        <v>8.2509750365590513</v>
      </c>
      <c r="G338" s="306">
        <f t="shared" ca="1" si="156"/>
        <v>24.329530914089126</v>
      </c>
      <c r="H338" s="307">
        <f t="shared" ca="1" si="157"/>
        <v>212.69211477600527</v>
      </c>
      <c r="I338" s="304">
        <f t="shared" ca="1" si="158"/>
        <v>214.07910164793998</v>
      </c>
      <c r="J338" s="306">
        <f t="shared" ca="1" si="159"/>
        <v>46.776796471832753</v>
      </c>
      <c r="K338" s="307">
        <f t="shared" ca="1" si="160"/>
        <v>437.00254708086362</v>
      </c>
      <c r="L338" s="304">
        <f t="shared" ca="1" si="145"/>
        <v>439.49891335853118</v>
      </c>
      <c r="M338" s="306">
        <f t="shared" ca="1" si="161"/>
        <v>1.4569028652175744</v>
      </c>
      <c r="N338" s="304">
        <f t="shared" ca="1" si="162"/>
        <v>83.474385337484037</v>
      </c>
      <c r="P338" s="310">
        <f t="shared" ca="1" si="163"/>
        <v>9</v>
      </c>
      <c r="Q338" s="304">
        <f t="shared" ca="1" si="164"/>
        <v>146.00000000001597</v>
      </c>
      <c r="R338" s="306">
        <f t="shared" ca="1" si="165"/>
        <v>7.3270597608795549E-2</v>
      </c>
      <c r="S338" s="307">
        <f t="shared" ca="1" si="166"/>
        <v>6.8608701660555171</v>
      </c>
      <c r="T338" s="304">
        <f t="shared" ca="1" si="146"/>
        <v>67.305136329004625</v>
      </c>
      <c r="U338" s="311">
        <f t="shared" ca="1" si="147"/>
        <v>0</v>
      </c>
      <c r="V338" s="306">
        <f t="shared" ca="1" si="148"/>
        <v>1.1726118751817132</v>
      </c>
      <c r="W338" s="304">
        <f t="shared" ca="1" si="149"/>
        <v>135.08874103370408</v>
      </c>
      <c r="Y338" s="314" t="str">
        <f t="shared" ca="1" si="167"/>
        <v/>
      </c>
      <c r="Z338" s="315" t="str">
        <f t="shared" ca="1" si="168"/>
        <v/>
      </c>
      <c r="AA338" s="316" t="str">
        <f t="shared" ca="1" si="169"/>
        <v/>
      </c>
      <c r="AC338" s="310" t="e">
        <f t="shared" ca="1" si="170"/>
        <v>#N/A</v>
      </c>
      <c r="AD338" s="323" t="e">
        <f t="shared" ca="1" si="171"/>
        <v>#N/A</v>
      </c>
      <c r="AE338" s="324">
        <f t="shared" ca="1" si="150"/>
        <v>437.00254708086362</v>
      </c>
      <c r="AG338" s="306">
        <f t="shared" ca="1" si="172"/>
        <v>-8.1753752616680622</v>
      </c>
      <c r="AH338" s="304">
        <f t="shared" ca="1" si="173"/>
        <v>1.5711252187696996</v>
      </c>
    </row>
    <row r="339" spans="1:34" x14ac:dyDescent="0.2">
      <c r="A339" s="347">
        <f t="shared" ca="1" si="151"/>
        <v>0.01</v>
      </c>
      <c r="B339" s="304">
        <f t="shared" ca="1" si="152"/>
        <v>3.3499999999999726</v>
      </c>
      <c r="D339" s="306">
        <f t="shared" ca="1" si="153"/>
        <v>8.3815513853505511E-2</v>
      </c>
      <c r="E339" s="307">
        <f t="shared" ca="1" si="154"/>
        <v>-9.0772732180702995</v>
      </c>
      <c r="F339" s="304">
        <f t="shared" ca="1" si="155"/>
        <v>9.0776601674582889</v>
      </c>
      <c r="G339" s="306">
        <f t="shared" ca="1" si="156"/>
        <v>24.330369069227661</v>
      </c>
      <c r="H339" s="307">
        <f t="shared" ca="1" si="157"/>
        <v>212.60134204382456</v>
      </c>
      <c r="I339" s="304">
        <f t="shared" ca="1" si="158"/>
        <v>213.98901256344942</v>
      </c>
      <c r="J339" s="306">
        <f t="shared" ca="1" si="159"/>
        <v>47.020095971749335</v>
      </c>
      <c r="K339" s="307">
        <f t="shared" ca="1" si="160"/>
        <v>439.12901436496276</v>
      </c>
      <c r="L339" s="304">
        <f t="shared" ca="1" si="145"/>
        <v>441.63919740251339</v>
      </c>
      <c r="M339" s="306">
        <f t="shared" ca="1" si="161"/>
        <v>1.4568507653049683</v>
      </c>
      <c r="N339" s="304">
        <f t="shared" ca="1" si="162"/>
        <v>83.471400232378699</v>
      </c>
      <c r="P339" s="310">
        <f t="shared" ca="1" si="163"/>
        <v>9</v>
      </c>
      <c r="Q339" s="304">
        <f t="shared" ca="1" si="164"/>
        <v>140.14814814816427</v>
      </c>
      <c r="R339" s="306">
        <f t="shared" ca="1" si="165"/>
        <v>7.0333825812197839E-2</v>
      </c>
      <c r="S339" s="307">
        <f t="shared" ca="1" si="166"/>
        <v>6.8601668277973955</v>
      </c>
      <c r="T339" s="304">
        <f t="shared" ca="1" si="146"/>
        <v>67.298236580692446</v>
      </c>
      <c r="U339" s="311">
        <f t="shared" ca="1" si="147"/>
        <v>0</v>
      </c>
      <c r="V339" s="306">
        <f t="shared" ca="1" si="148"/>
        <v>1.1723624299529583</v>
      </c>
      <c r="W339" s="304">
        <f t="shared" ca="1" si="149"/>
        <v>134.94635573981611</v>
      </c>
      <c r="Y339" s="314" t="str">
        <f t="shared" ca="1" si="167"/>
        <v/>
      </c>
      <c r="Z339" s="315" t="str">
        <f t="shared" ca="1" si="168"/>
        <v/>
      </c>
      <c r="AA339" s="316" t="str">
        <f t="shared" ca="1" si="169"/>
        <v/>
      </c>
      <c r="AC339" s="310" t="e">
        <f t="shared" ca="1" si="170"/>
        <v>#N/A</v>
      </c>
      <c r="AD339" s="323" t="e">
        <f t="shared" ca="1" si="171"/>
        <v>#N/A</v>
      </c>
      <c r="AE339" s="324">
        <f t="shared" ca="1" si="150"/>
        <v>439.12901436496276</v>
      </c>
      <c r="AG339" s="306">
        <f t="shared" ca="1" si="172"/>
        <v>-9.0089374916533167</v>
      </c>
      <c r="AH339" s="304">
        <f t="shared" ca="1" si="173"/>
        <v>0.73750496765756024</v>
      </c>
    </row>
    <row r="340" spans="1:34" x14ac:dyDescent="0.2">
      <c r="A340" s="347">
        <f t="shared" ca="1" si="151"/>
        <v>0.01</v>
      </c>
      <c r="B340" s="304">
        <f t="shared" ca="1" si="152"/>
        <v>3.3599999999999723</v>
      </c>
      <c r="D340" s="306">
        <f t="shared" ca="1" si="153"/>
        <v>-1.0775024978801043E-2</v>
      </c>
      <c r="E340" s="307">
        <f t="shared" ca="1" si="154"/>
        <v>-9.9041533095749941</v>
      </c>
      <c r="F340" s="304">
        <f t="shared" ca="1" si="155"/>
        <v>9.9041591708094341</v>
      </c>
      <c r="G340" s="306">
        <f t="shared" ca="1" si="156"/>
        <v>24.330261318977872</v>
      </c>
      <c r="H340" s="307">
        <f t="shared" ca="1" si="157"/>
        <v>212.50230051072882</v>
      </c>
      <c r="I340" s="304">
        <f t="shared" ca="1" si="158"/>
        <v>213.89060133208716</v>
      </c>
      <c r="J340" s="306">
        <f t="shared" ca="1" si="159"/>
        <v>47.263399123690363</v>
      </c>
      <c r="K340" s="307">
        <f t="shared" ca="1" si="160"/>
        <v>441.25453257773552</v>
      </c>
      <c r="L340" s="304">
        <f t="shared" ca="1" si="145"/>
        <v>443.77853870722623</v>
      </c>
      <c r="M340" s="306">
        <f t="shared" ca="1" si="161"/>
        <v>1.4567986176806373</v>
      </c>
      <c r="N340" s="304">
        <f t="shared" ca="1" si="162"/>
        <v>83.468412393592914</v>
      </c>
      <c r="P340" s="310">
        <f t="shared" ca="1" si="163"/>
        <v>9</v>
      </c>
      <c r="Q340" s="304">
        <f t="shared" ca="1" si="164"/>
        <v>134.29629629631253</v>
      </c>
      <c r="R340" s="306">
        <f t="shared" ca="1" si="165"/>
        <v>6.739705401560013E-2</v>
      </c>
      <c r="S340" s="307">
        <f t="shared" ca="1" si="166"/>
        <v>6.8594928572572398</v>
      </c>
      <c r="T340" s="304">
        <f t="shared" ca="1" si="146"/>
        <v>67.291624929693526</v>
      </c>
      <c r="U340" s="311">
        <f t="shared" ca="1" si="147"/>
        <v>0</v>
      </c>
      <c r="V340" s="306">
        <f t="shared" ca="1" si="148"/>
        <v>1.1721131479189539</v>
      </c>
      <c r="W340" s="304">
        <f t="shared" ca="1" si="149"/>
        <v>134.7935959850241</v>
      </c>
      <c r="Y340" s="314" t="str">
        <f t="shared" ca="1" si="167"/>
        <v/>
      </c>
      <c r="Z340" s="315" t="str">
        <f t="shared" ca="1" si="168"/>
        <v/>
      </c>
      <c r="AA340" s="316" t="str">
        <f t="shared" ca="1" si="169"/>
        <v/>
      </c>
      <c r="AC340" s="310" t="e">
        <f t="shared" ca="1" si="170"/>
        <v>#N/A</v>
      </c>
      <c r="AD340" s="323" t="e">
        <f t="shared" ca="1" si="171"/>
        <v>#N/A</v>
      </c>
      <c r="AE340" s="324">
        <f t="shared" ca="1" si="150"/>
        <v>441.25453257773552</v>
      </c>
      <c r="AG340" s="306">
        <f t="shared" ca="1" si="172"/>
        <v>-9.8411522186611311</v>
      </c>
      <c r="AH340" s="304">
        <f t="shared" ca="1" si="173"/>
        <v>-9.476785777476629E-2</v>
      </c>
    </row>
    <row r="341" spans="1:34" x14ac:dyDescent="0.2">
      <c r="A341" s="347">
        <f t="shared" ca="1" si="151"/>
        <v>0.01</v>
      </c>
      <c r="B341" s="304">
        <f t="shared" ca="1" si="152"/>
        <v>3.3699999999999721</v>
      </c>
      <c r="D341" s="306">
        <f t="shared" ca="1" si="153"/>
        <v>-0.10529786614039272</v>
      </c>
      <c r="E341" s="307">
        <f t="shared" ca="1" si="154"/>
        <v>-10.729679345007717</v>
      </c>
      <c r="F341" s="304">
        <f t="shared" ca="1" si="155"/>
        <v>10.730196013461216</v>
      </c>
      <c r="G341" s="306">
        <f t="shared" ca="1" si="156"/>
        <v>24.32920834031647</v>
      </c>
      <c r="H341" s="307">
        <f t="shared" ca="1" si="157"/>
        <v>212.39500371727874</v>
      </c>
      <c r="I341" s="304">
        <f t="shared" ca="1" si="158"/>
        <v>213.78388148438455</v>
      </c>
      <c r="J341" s="306">
        <f t="shared" ca="1" si="159"/>
        <v>47.506696471986835</v>
      </c>
      <c r="K341" s="307">
        <f t="shared" ca="1" si="160"/>
        <v>443.37901909887557</v>
      </c>
      <c r="L341" s="304">
        <f t="shared" ca="1" si="145"/>
        <v>445.9168541183015</v>
      </c>
      <c r="M341" s="306">
        <f t="shared" ca="1" si="161"/>
        <v>1.4567464202504972</v>
      </c>
      <c r="N341" s="304">
        <f t="shared" ca="1" si="162"/>
        <v>83.46542170114445</v>
      </c>
      <c r="P341" s="310">
        <f t="shared" ca="1" si="163"/>
        <v>9</v>
      </c>
      <c r="Q341" s="304">
        <f t="shared" ca="1" si="164"/>
        <v>128.44444444446083</v>
      </c>
      <c r="R341" s="306">
        <f t="shared" ca="1" si="165"/>
        <v>6.4460282219002421E-2</v>
      </c>
      <c r="S341" s="307">
        <f t="shared" ca="1" si="166"/>
        <v>6.85884825443505</v>
      </c>
      <c r="T341" s="304">
        <f t="shared" ca="1" si="146"/>
        <v>67.285301376007837</v>
      </c>
      <c r="U341" s="311">
        <f t="shared" ca="1" si="147"/>
        <v>0</v>
      </c>
      <c r="V341" s="306">
        <f t="shared" ca="1" si="148"/>
        <v>1.1718640386808163</v>
      </c>
      <c r="W341" s="304">
        <f t="shared" ca="1" si="149"/>
        <v>134.63050099953682</v>
      </c>
      <c r="Y341" s="314" t="str">
        <f t="shared" ca="1" si="167"/>
        <v/>
      </c>
      <c r="Z341" s="315" t="str">
        <f t="shared" ca="1" si="168"/>
        <v/>
      </c>
      <c r="AA341" s="316" t="str">
        <f t="shared" ca="1" si="169"/>
        <v/>
      </c>
      <c r="AC341" s="310" t="e">
        <f t="shared" ca="1" si="170"/>
        <v>#N/A</v>
      </c>
      <c r="AD341" s="323" t="e">
        <f t="shared" ca="1" si="171"/>
        <v>#N/A</v>
      </c>
      <c r="AE341" s="324">
        <f t="shared" ca="1" si="150"/>
        <v>443.37901909887557</v>
      </c>
      <c r="AG341" s="306">
        <f t="shared" ca="1" si="172"/>
        <v>-10.6720138937385</v>
      </c>
      <c r="AH341" s="304">
        <f t="shared" ca="1" si="173"/>
        <v>-0.92568771097360236</v>
      </c>
    </row>
    <row r="342" spans="1:34" x14ac:dyDescent="0.2">
      <c r="A342" s="347">
        <f t="shared" ca="1" si="151"/>
        <v>0.01</v>
      </c>
      <c r="B342" s="304">
        <f t="shared" ca="1" si="152"/>
        <v>3.3799999999999719</v>
      </c>
      <c r="D342" s="306">
        <f t="shared" ca="1" si="153"/>
        <v>-0.19975231317703848</v>
      </c>
      <c r="E342" s="307">
        <f t="shared" ca="1" si="154"/>
        <v>-11.553846026813229</v>
      </c>
      <c r="F342" s="304">
        <f t="shared" ca="1" si="155"/>
        <v>11.555572638252396</v>
      </c>
      <c r="G342" s="306">
        <f t="shared" ca="1" si="156"/>
        <v>24.327210817184699</v>
      </c>
      <c r="H342" s="307">
        <f t="shared" ca="1" si="157"/>
        <v>212.2794652570106</v>
      </c>
      <c r="I342" s="304">
        <f t="shared" ca="1" si="158"/>
        <v>213.66886660425314</v>
      </c>
      <c r="J342" s="306">
        <f t="shared" ca="1" si="159"/>
        <v>47.749978567774342</v>
      </c>
      <c r="K342" s="307">
        <f t="shared" ca="1" si="160"/>
        <v>445.502391443747</v>
      </c>
      <c r="L342" s="304">
        <f t="shared" ca="1" si="145"/>
        <v>448.054060616931</v>
      </c>
      <c r="M342" s="306">
        <f t="shared" ca="1" si="161"/>
        <v>1.4566941709138814</v>
      </c>
      <c r="N342" s="304">
        <f t="shared" ca="1" si="162"/>
        <v>83.462428034674005</v>
      </c>
      <c r="P342" s="310">
        <f t="shared" ca="1" si="163"/>
        <v>9</v>
      </c>
      <c r="Q342" s="304">
        <f t="shared" ca="1" si="164"/>
        <v>122.59259259260908</v>
      </c>
      <c r="R342" s="306">
        <f t="shared" ca="1" si="165"/>
        <v>6.1523510422404705E-2</v>
      </c>
      <c r="S342" s="307">
        <f t="shared" ca="1" si="166"/>
        <v>6.8582330193308261</v>
      </c>
      <c r="T342" s="304">
        <f t="shared" ca="1" si="146"/>
        <v>67.279265919635407</v>
      </c>
      <c r="U342" s="311">
        <f t="shared" ca="1" si="147"/>
        <v>0</v>
      </c>
      <c r="V342" s="306">
        <f t="shared" ca="1" si="148"/>
        <v>1.171615111815792</v>
      </c>
      <c r="W342" s="304">
        <f t="shared" ca="1" si="149"/>
        <v>134.45711122491835</v>
      </c>
      <c r="Y342" s="314" t="str">
        <f t="shared" ca="1" si="167"/>
        <v/>
      </c>
      <c r="Z342" s="315" t="str">
        <f t="shared" ca="1" si="168"/>
        <v/>
      </c>
      <c r="AA342" s="316" t="str">
        <f t="shared" ca="1" si="169"/>
        <v/>
      </c>
      <c r="AC342" s="310" t="e">
        <f t="shared" ca="1" si="170"/>
        <v>#N/A</v>
      </c>
      <c r="AD342" s="323" t="e">
        <f t="shared" ca="1" si="171"/>
        <v>#N/A</v>
      </c>
      <c r="AE342" s="324">
        <f t="shared" ca="1" si="150"/>
        <v>445.502391443747</v>
      </c>
      <c r="AG342" s="306">
        <f t="shared" ca="1" si="172"/>
        <v>-11.501517178867424</v>
      </c>
      <c r="AH342" s="304">
        <f t="shared" ca="1" si="173"/>
        <v>-1.7552492563313791</v>
      </c>
    </row>
    <row r="343" spans="1:34" x14ac:dyDescent="0.2">
      <c r="A343" s="347">
        <f t="shared" ca="1" si="151"/>
        <v>0.01</v>
      </c>
      <c r="B343" s="304">
        <f t="shared" ca="1" si="152"/>
        <v>3.3899999999999717</v>
      </c>
      <c r="D343" s="306">
        <f t="shared" ca="1" si="153"/>
        <v>-0.29413769891227898</v>
      </c>
      <c r="E343" s="307">
        <f t="shared" ca="1" si="154"/>
        <v>-12.376648265033289</v>
      </c>
      <c r="F343" s="304">
        <f t="shared" ca="1" si="155"/>
        <v>12.380142941916015</v>
      </c>
      <c r="G343" s="306">
        <f t="shared" ca="1" si="156"/>
        <v>24.324269440195575</v>
      </c>
      <c r="H343" s="307">
        <f t="shared" ca="1" si="157"/>
        <v>212.15569877436027</v>
      </c>
      <c r="I343" s="304">
        <f t="shared" ca="1" si="158"/>
        <v>213.54557032688908</v>
      </c>
      <c r="J343" s="306">
        <f t="shared" ca="1" si="159"/>
        <v>47.993235969061246</v>
      </c>
      <c r="K343" s="307">
        <f t="shared" ca="1" si="160"/>
        <v>447.62456726390383</v>
      </c>
      <c r="L343" s="304">
        <f t="shared" ca="1" si="145"/>
        <v>450.1900753203908</v>
      </c>
      <c r="M343" s="306">
        <f t="shared" ca="1" si="161"/>
        <v>1.4566418675630626</v>
      </c>
      <c r="N343" s="304">
        <f t="shared" ca="1" si="162"/>
        <v>83.459431273417692</v>
      </c>
      <c r="P343" s="310">
        <f t="shared" ca="1" si="163"/>
        <v>9</v>
      </c>
      <c r="Q343" s="304">
        <f t="shared" ca="1" si="164"/>
        <v>116.74074074075736</v>
      </c>
      <c r="R343" s="306">
        <f t="shared" ca="1" si="165"/>
        <v>5.8586738625806996E-2</v>
      </c>
      <c r="S343" s="307">
        <f t="shared" ca="1" si="166"/>
        <v>6.8576471519445681</v>
      </c>
      <c r="T343" s="304">
        <f t="shared" ca="1" si="146"/>
        <v>67.273518560576221</v>
      </c>
      <c r="U343" s="311">
        <f t="shared" ca="1" si="147"/>
        <v>0</v>
      </c>
      <c r="V343" s="306">
        <f t="shared" ca="1" si="148"/>
        <v>1.171366376877228</v>
      </c>
      <c r="W343" s="304">
        <f t="shared" ca="1" si="149"/>
        <v>134.2734683025212</v>
      </c>
      <c r="Y343" s="314" t="str">
        <f t="shared" ca="1" si="167"/>
        <v/>
      </c>
      <c r="Z343" s="315" t="str">
        <f t="shared" ca="1" si="168"/>
        <v/>
      </c>
      <c r="AA343" s="316" t="str">
        <f t="shared" ca="1" si="169"/>
        <v/>
      </c>
      <c r="AC343" s="310" t="e">
        <f t="shared" ca="1" si="170"/>
        <v>#N/A</v>
      </c>
      <c r="AD343" s="323" t="e">
        <f t="shared" ca="1" si="171"/>
        <v>#N/A</v>
      </c>
      <c r="AE343" s="324">
        <f t="shared" ca="1" si="150"/>
        <v>447.62456726390383</v>
      </c>
      <c r="AG343" s="306">
        <f t="shared" ca="1" si="172"/>
        <v>-12.329656945602276</v>
      </c>
      <c r="AH343" s="304">
        <f t="shared" ca="1" si="173"/>
        <v>-2.5834473678245899</v>
      </c>
    </row>
    <row r="344" spans="1:34" x14ac:dyDescent="0.2">
      <c r="A344" s="347">
        <f t="shared" ca="1" si="151"/>
        <v>0.01</v>
      </c>
      <c r="B344" s="304">
        <f t="shared" ca="1" si="152"/>
        <v>3.3999999999999715</v>
      </c>
      <c r="D344" s="306">
        <f t="shared" ca="1" si="153"/>
        <v>-0.38845338534292106</v>
      </c>
      <c r="E344" s="307">
        <f t="shared" ca="1" si="154"/>
        <v>-13.198081175934821</v>
      </c>
      <c r="F344" s="304">
        <f t="shared" ca="1" si="155"/>
        <v>13.203796528239497</v>
      </c>
      <c r="G344" s="306">
        <f t="shared" ca="1" si="156"/>
        <v>24.320384906342145</v>
      </c>
      <c r="H344" s="307">
        <f t="shared" ca="1" si="157"/>
        <v>212.02371796260093</v>
      </c>
      <c r="I344" s="304">
        <f t="shared" ca="1" si="158"/>
        <v>213.41400633669099</v>
      </c>
      <c r="J344" s="306">
        <f t="shared" ca="1" si="159"/>
        <v>48.236459240793934</v>
      </c>
      <c r="K344" s="307">
        <f t="shared" ca="1" si="160"/>
        <v>449.74546434758861</v>
      </c>
      <c r="L344" s="304">
        <f t="shared" ca="1" si="145"/>
        <v>452.32481548254333</v>
      </c>
      <c r="M344" s="306">
        <f t="shared" ca="1" si="161"/>
        <v>1.4565895080827673</v>
      </c>
      <c r="N344" s="304">
        <f t="shared" ca="1" si="162"/>
        <v>83.456431296179275</v>
      </c>
      <c r="P344" s="310">
        <f t="shared" ca="1" si="163"/>
        <v>9</v>
      </c>
      <c r="Q344" s="304">
        <f t="shared" ca="1" si="164"/>
        <v>110.88888888890563</v>
      </c>
      <c r="R344" s="306">
        <f t="shared" ca="1" si="165"/>
        <v>5.564996682920928E-2</v>
      </c>
      <c r="S344" s="307">
        <f t="shared" ca="1" si="166"/>
        <v>6.857090652276276</v>
      </c>
      <c r="T344" s="304">
        <f t="shared" ca="1" si="146"/>
        <v>67.268059298830266</v>
      </c>
      <c r="U344" s="311">
        <f t="shared" ca="1" si="147"/>
        <v>0</v>
      </c>
      <c r="V344" s="306">
        <f t="shared" ca="1" si="148"/>
        <v>1.1711178433945486</v>
      </c>
      <c r="W344" s="304">
        <f t="shared" ca="1" si="149"/>
        <v>134.07961506194218</v>
      </c>
      <c r="Y344" s="314" t="str">
        <f t="shared" ca="1" si="167"/>
        <v/>
      </c>
      <c r="Z344" s="315" t="str">
        <f t="shared" ca="1" si="168"/>
        <v/>
      </c>
      <c r="AA344" s="316" t="str">
        <f t="shared" ca="1" si="169"/>
        <v/>
      </c>
      <c r="AC344" s="310" t="e">
        <f t="shared" ca="1" si="170"/>
        <v>#N/A</v>
      </c>
      <c r="AD344" s="323" t="e">
        <f t="shared" ca="1" si="171"/>
        <v>#N/A</v>
      </c>
      <c r="AE344" s="324">
        <f t="shared" ca="1" si="150"/>
        <v>449.74546434758861</v>
      </c>
      <c r="AG344" s="306">
        <f t="shared" ca="1" si="172"/>
        <v>-13.156428273695994</v>
      </c>
      <c r="AH344" s="304">
        <f t="shared" ca="1" si="173"/>
        <v>-3.410277127640545</v>
      </c>
    </row>
    <row r="345" spans="1:34" x14ac:dyDescent="0.2">
      <c r="A345" s="347">
        <f t="shared" ca="1" si="151"/>
        <v>0.01</v>
      </c>
      <c r="B345" s="304">
        <f t="shared" ca="1" si="152"/>
        <v>3.4099999999999713</v>
      </c>
      <c r="D345" s="306">
        <f t="shared" ca="1" si="153"/>
        <v>-0.48269876353506486</v>
      </c>
      <c r="E345" s="307">
        <f t="shared" ca="1" si="154"/>
        <v>-14.01814008062702</v>
      </c>
      <c r="F345" s="304">
        <f t="shared" ca="1" si="155"/>
        <v>14.026448211019069</v>
      </c>
      <c r="G345" s="306">
        <f t="shared" ca="1" si="156"/>
        <v>24.315557918706794</v>
      </c>
      <c r="H345" s="307">
        <f t="shared" ca="1" si="157"/>
        <v>211.88353656179464</v>
      </c>
      <c r="I345" s="304">
        <f t="shared" ca="1" si="158"/>
        <v>213.27418836519189</v>
      </c>
      <c r="J345" s="306">
        <f t="shared" ca="1" si="159"/>
        <v>48.479638954919182</v>
      </c>
      <c r="K345" s="307">
        <f t="shared" ca="1" si="160"/>
        <v>451.86500062021059</v>
      </c>
      <c r="L345" s="304">
        <f t="shared" ca="1" si="145"/>
        <v>454.45819849431945</v>
      </c>
      <c r="M345" s="306">
        <f t="shared" ca="1" si="161"/>
        <v>1.4565370903496886</v>
      </c>
      <c r="N345" s="304">
        <f t="shared" ca="1" si="162"/>
        <v>83.453427981302227</v>
      </c>
      <c r="P345" s="310">
        <f t="shared" ca="1" si="163"/>
        <v>9</v>
      </c>
      <c r="Q345" s="304">
        <f t="shared" ca="1" si="164"/>
        <v>105.03703703705391</v>
      </c>
      <c r="R345" s="306">
        <f t="shared" ca="1" si="165"/>
        <v>5.2713195032611571E-2</v>
      </c>
      <c r="S345" s="307">
        <f t="shared" ca="1" si="166"/>
        <v>6.8565635203259498</v>
      </c>
      <c r="T345" s="304">
        <f t="shared" ca="1" si="146"/>
        <v>67.262888134397571</v>
      </c>
      <c r="U345" s="311">
        <f t="shared" ca="1" si="147"/>
        <v>0</v>
      </c>
      <c r="V345" s="306">
        <f t="shared" ca="1" si="148"/>
        <v>1.1708695208732336</v>
      </c>
      <c r="W345" s="304">
        <f t="shared" ca="1" si="149"/>
        <v>133.87559550950382</v>
      </c>
      <c r="Y345" s="314" t="str">
        <f t="shared" ca="1" si="167"/>
        <v/>
      </c>
      <c r="Z345" s="315" t="str">
        <f t="shared" ca="1" si="168"/>
        <v/>
      </c>
      <c r="AA345" s="316" t="str">
        <f t="shared" ca="1" si="169"/>
        <v/>
      </c>
      <c r="AC345" s="310" t="e">
        <f t="shared" ca="1" si="170"/>
        <v>#N/A</v>
      </c>
      <c r="AD345" s="323" t="e">
        <f t="shared" ca="1" si="171"/>
        <v>#N/A</v>
      </c>
      <c r="AE345" s="324">
        <f t="shared" ca="1" si="150"/>
        <v>451.86500062021059</v>
      </c>
      <c r="AG345" s="306">
        <f t="shared" ca="1" si="172"/>
        <v>-13.981826449715435</v>
      </c>
      <c r="AH345" s="304">
        <f t="shared" ca="1" si="173"/>
        <v>-4.2357338247932743</v>
      </c>
    </row>
    <row r="346" spans="1:34" x14ac:dyDescent="0.2">
      <c r="A346" s="347">
        <f t="shared" ca="1" si="151"/>
        <v>0.01</v>
      </c>
      <c r="B346" s="304">
        <f t="shared" ca="1" si="152"/>
        <v>3.4199999999999711</v>
      </c>
      <c r="D346" s="306">
        <f t="shared" ca="1" si="153"/>
        <v>-0.5768732535207507</v>
      </c>
      <c r="E346" s="307">
        <f t="shared" ca="1" si="154"/>
        <v>-14.836820503668136</v>
      </c>
      <c r="F346" s="304">
        <f t="shared" ca="1" si="155"/>
        <v>14.848031028008219</v>
      </c>
      <c r="G346" s="306">
        <f t="shared" ca="1" si="156"/>
        <v>24.309789186171585</v>
      </c>
      <c r="H346" s="307">
        <f t="shared" ca="1" si="157"/>
        <v>211.73516835675795</v>
      </c>
      <c r="I346" s="304">
        <f t="shared" ca="1" si="158"/>
        <v>213.12613018900507</v>
      </c>
      <c r="J346" s="306">
        <f t="shared" ca="1" si="159"/>
        <v>48.722765690443573</v>
      </c>
      <c r="K346" s="307">
        <f t="shared" ca="1" si="160"/>
        <v>453.98309414480337</v>
      </c>
      <c r="L346" s="304">
        <f t="shared" ca="1" si="145"/>
        <v>456.59014188417962</v>
      </c>
      <c r="M346" s="306">
        <f t="shared" ca="1" si="161"/>
        <v>1.4564846122319943</v>
      </c>
      <c r="N346" s="304">
        <f t="shared" ca="1" si="162"/>
        <v>83.45042120664155</v>
      </c>
      <c r="P346" s="310">
        <f t="shared" ca="1" si="163"/>
        <v>9</v>
      </c>
      <c r="Q346" s="304">
        <f t="shared" ca="1" si="164"/>
        <v>99.185185185202172</v>
      </c>
      <c r="R346" s="306">
        <f t="shared" ca="1" si="165"/>
        <v>4.9776423236013854E-2</v>
      </c>
      <c r="S346" s="307">
        <f t="shared" ca="1" si="166"/>
        <v>6.8560657560935896</v>
      </c>
      <c r="T346" s="304">
        <f t="shared" ca="1" si="146"/>
        <v>67.25800506727812</v>
      </c>
      <c r="U346" s="311">
        <f t="shared" ca="1" si="147"/>
        <v>0</v>
      </c>
      <c r="V346" s="306">
        <f t="shared" ca="1" si="148"/>
        <v>1.170621418794799</v>
      </c>
      <c r="W346" s="304">
        <f t="shared" ca="1" si="149"/>
        <v>133.66145481676378</v>
      </c>
      <c r="Y346" s="314" t="str">
        <f t="shared" ca="1" si="167"/>
        <v/>
      </c>
      <c r="Z346" s="315" t="str">
        <f t="shared" ca="1" si="168"/>
        <v/>
      </c>
      <c r="AA346" s="316" t="str">
        <f t="shared" ca="1" si="169"/>
        <v/>
      </c>
      <c r="AC346" s="310" t="e">
        <f t="shared" ca="1" si="170"/>
        <v>#N/A</v>
      </c>
      <c r="AD346" s="323" t="e">
        <f t="shared" ca="1" si="171"/>
        <v>#N/A</v>
      </c>
      <c r="AE346" s="324">
        <f t="shared" ca="1" si="150"/>
        <v>453.98309414480337</v>
      </c>
      <c r="AG346" s="306">
        <f t="shared" ca="1" si="172"/>
        <v>-14.805846965646467</v>
      </c>
      <c r="AH346" s="304">
        <f t="shared" ca="1" si="173"/>
        <v>-5.0598129537292182</v>
      </c>
    </row>
    <row r="347" spans="1:34" x14ac:dyDescent="0.2">
      <c r="A347" s="347">
        <f t="shared" ca="1" si="151"/>
        <v>0.01</v>
      </c>
      <c r="B347" s="304">
        <f t="shared" ca="1" si="152"/>
        <v>3.4299999999999708</v>
      </c>
      <c r="D347" s="306">
        <f t="shared" ca="1" si="153"/>
        <v>-0.67097630419528653</v>
      </c>
      <c r="E347" s="307">
        <f t="shared" ca="1" si="154"/>
        <v>-15.654118171662269</v>
      </c>
      <c r="F347" s="304">
        <f t="shared" ca="1" si="155"/>
        <v>15.668491469607353</v>
      </c>
      <c r="G347" s="306">
        <f t="shared" ca="1" si="156"/>
        <v>24.303079423129631</v>
      </c>
      <c r="H347" s="307">
        <f t="shared" ca="1" si="157"/>
        <v>211.57862717504133</v>
      </c>
      <c r="I347" s="304">
        <f t="shared" ca="1" si="158"/>
        <v>212.96984562778385</v>
      </c>
      <c r="J347" s="306">
        <f t="shared" ca="1" si="159"/>
        <v>48.965830033490079</v>
      </c>
      <c r="K347" s="307">
        <f t="shared" ca="1" si="160"/>
        <v>456.09966312246235</v>
      </c>
      <c r="L347" s="304">
        <f t="shared" ca="1" si="145"/>
        <v>458.72056331855487</v>
      </c>
      <c r="M347" s="306">
        <f t="shared" ca="1" si="161"/>
        <v>1.4564320715888315</v>
      </c>
      <c r="N347" s="304">
        <f t="shared" ca="1" si="162"/>
        <v>83.447410849535416</v>
      </c>
      <c r="P347" s="310">
        <f t="shared" ca="1" si="163"/>
        <v>9</v>
      </c>
      <c r="Q347" s="304">
        <f t="shared" ca="1" si="164"/>
        <v>93.333333333350453</v>
      </c>
      <c r="R347" s="306">
        <f t="shared" ca="1" si="165"/>
        <v>4.6839651439416145E-2</v>
      </c>
      <c r="S347" s="307">
        <f t="shared" ca="1" si="166"/>
        <v>6.8555973595791952</v>
      </c>
      <c r="T347" s="304">
        <f t="shared" ca="1" si="146"/>
        <v>67.253410097471914</v>
      </c>
      <c r="U347" s="311">
        <f t="shared" ca="1" si="147"/>
        <v>0</v>
      </c>
      <c r="V347" s="306">
        <f t="shared" ca="1" si="148"/>
        <v>1.1703735466167815</v>
      </c>
      <c r="W347" s="304">
        <f t="shared" ca="1" si="149"/>
        <v>133.43723930905446</v>
      </c>
      <c r="Y347" s="314" t="str">
        <f t="shared" ca="1" si="167"/>
        <v/>
      </c>
      <c r="Z347" s="315" t="str">
        <f t="shared" ca="1" si="168"/>
        <v/>
      </c>
      <c r="AA347" s="316" t="str">
        <f t="shared" ca="1" si="169"/>
        <v/>
      </c>
      <c r="AC347" s="310" t="e">
        <f t="shared" ca="1" si="170"/>
        <v>#N/A</v>
      </c>
      <c r="AD347" s="323" t="e">
        <f t="shared" ca="1" si="171"/>
        <v>#N/A</v>
      </c>
      <c r="AE347" s="324">
        <f t="shared" ca="1" si="150"/>
        <v>456.09966312246235</v>
      </c>
      <c r="AG347" s="306">
        <f t="shared" ca="1" si="172"/>
        <v>-15.628485517489271</v>
      </c>
      <c r="AH347" s="304">
        <f t="shared" ca="1" si="173"/>
        <v>-5.8825102129231102</v>
      </c>
    </row>
    <row r="348" spans="1:34" x14ac:dyDescent="0.2">
      <c r="A348" s="347">
        <f t="shared" ca="1" si="151"/>
        <v>0.01</v>
      </c>
      <c r="B348" s="304">
        <f t="shared" ca="1" si="152"/>
        <v>3.4399999999999706</v>
      </c>
      <c r="D348" s="306">
        <f t="shared" ca="1" si="153"/>
        <v>-0.76500739321533573</v>
      </c>
      <c r="E348" s="307">
        <f t="shared" ca="1" si="154"/>
        <v>-16.470029011846702</v>
      </c>
      <c r="F348" s="304">
        <f t="shared" ca="1" si="155"/>
        <v>16.4877861449846</v>
      </c>
      <c r="G348" s="306">
        <f t="shared" ca="1" si="156"/>
        <v>24.295429349197477</v>
      </c>
      <c r="H348" s="307">
        <f t="shared" ca="1" si="157"/>
        <v>211.41392688492286</v>
      </c>
      <c r="I348" s="304">
        <f t="shared" ca="1" si="158"/>
        <v>212.80534854219562</v>
      </c>
      <c r="J348" s="306">
        <f t="shared" ca="1" si="159"/>
        <v>49.208822577351711</v>
      </c>
      <c r="K348" s="307">
        <f t="shared" ca="1" si="160"/>
        <v>458.21462589276217</v>
      </c>
      <c r="L348" s="304">
        <f t="shared" ca="1" si="145"/>
        <v>460.84938060226716</v>
      </c>
      <c r="M348" s="306">
        <f t="shared" ca="1" si="161"/>
        <v>1.4563794662698253</v>
      </c>
      <c r="N348" s="304">
        <f t="shared" ca="1" si="162"/>
        <v>83.444396786776423</v>
      </c>
      <c r="P348" s="310">
        <f t="shared" ca="1" si="163"/>
        <v>9</v>
      </c>
      <c r="Q348" s="304">
        <f t="shared" ca="1" si="164"/>
        <v>87.481481481498719</v>
      </c>
      <c r="R348" s="306">
        <f t="shared" ca="1" si="165"/>
        <v>4.3902879642818429E-2</v>
      </c>
      <c r="S348" s="307">
        <f t="shared" ca="1" si="166"/>
        <v>6.8551583307827668</v>
      </c>
      <c r="T348" s="304">
        <f t="shared" ca="1" si="146"/>
        <v>67.249103224978953</v>
      </c>
      <c r="U348" s="311">
        <f t="shared" ca="1" si="147"/>
        <v>0</v>
      </c>
      <c r="V348" s="306">
        <f t="shared" ca="1" si="148"/>
        <v>1.1701259137727287</v>
      </c>
      <c r="W348" s="304">
        <f t="shared" ca="1" si="149"/>
        <v>133.2029964540564</v>
      </c>
      <c r="Y348" s="314" t="str">
        <f t="shared" ca="1" si="167"/>
        <v/>
      </c>
      <c r="Z348" s="315" t="str">
        <f t="shared" ca="1" si="168"/>
        <v/>
      </c>
      <c r="AA348" s="316" t="str">
        <f t="shared" ca="1" si="169"/>
        <v/>
      </c>
      <c r="AC348" s="310" t="e">
        <f t="shared" ca="1" si="170"/>
        <v>#N/A</v>
      </c>
      <c r="AD348" s="323" t="e">
        <f t="shared" ca="1" si="171"/>
        <v>#N/A</v>
      </c>
      <c r="AE348" s="324">
        <f t="shared" ca="1" si="150"/>
        <v>458.21462589276217</v>
      </c>
      <c r="AG348" s="306">
        <f t="shared" ca="1" si="172"/>
        <v>-16.449738003844356</v>
      </c>
      <c r="AH348" s="304">
        <f t="shared" ca="1" si="173"/>
        <v>-6.7038215034645621</v>
      </c>
    </row>
    <row r="349" spans="1:34" x14ac:dyDescent="0.2">
      <c r="A349" s="347">
        <f t="shared" ca="1" si="151"/>
        <v>0.01</v>
      </c>
      <c r="B349" s="304">
        <f t="shared" ca="1" si="152"/>
        <v>3.4499999999999704</v>
      </c>
      <c r="D349" s="306">
        <f t="shared" ca="1" si="153"/>
        <v>-0.85896602689785206</v>
      </c>
      <c r="E349" s="307">
        <f t="shared" ca="1" si="154"/>
        <v>-17.284549150670337</v>
      </c>
      <c r="F349" s="304">
        <f t="shared" ca="1" si="155"/>
        <v>17.305879404910442</v>
      </c>
      <c r="G349" s="306">
        <f t="shared" ca="1" si="156"/>
        <v>24.286839688928499</v>
      </c>
      <c r="H349" s="307">
        <f t="shared" ca="1" si="157"/>
        <v>211.24108139341615</v>
      </c>
      <c r="I349" s="304">
        <f t="shared" ca="1" si="158"/>
        <v>212.63265283191004</v>
      </c>
      <c r="J349" s="306">
        <f t="shared" ca="1" si="159"/>
        <v>49.451733922542338</v>
      </c>
      <c r="K349" s="307">
        <f t="shared" ca="1" si="160"/>
        <v>460.32790093415389</v>
      </c>
      <c r="L349" s="304">
        <f t="shared" ca="1" si="145"/>
        <v>462.97651167892968</v>
      </c>
      <c r="M349" s="306">
        <f t="shared" ca="1" si="161"/>
        <v>1.456326794114575</v>
      </c>
      <c r="N349" s="304">
        <f t="shared" ca="1" si="162"/>
        <v>83.441378894582726</v>
      </c>
      <c r="P349" s="310">
        <f t="shared" ca="1" si="163"/>
        <v>9</v>
      </c>
      <c r="Q349" s="304">
        <f t="shared" ca="1" si="164"/>
        <v>81.629629629646985</v>
      </c>
      <c r="R349" s="306">
        <f t="shared" ca="1" si="165"/>
        <v>4.0966107846220713E-2</v>
      </c>
      <c r="S349" s="307">
        <f t="shared" ca="1" si="166"/>
        <v>6.8547486697043043</v>
      </c>
      <c r="T349" s="304">
        <f t="shared" ca="1" si="146"/>
        <v>67.245084449799222</v>
      </c>
      <c r="U349" s="311">
        <f t="shared" ca="1" si="147"/>
        <v>0</v>
      </c>
      <c r="V349" s="306">
        <f t="shared" ca="1" si="148"/>
        <v>1.1698785296721868</v>
      </c>
      <c r="W349" s="304">
        <f t="shared" ca="1" si="149"/>
        <v>132.95877485040648</v>
      </c>
      <c r="Y349" s="314" t="str">
        <f t="shared" ca="1" si="167"/>
        <v/>
      </c>
      <c r="Z349" s="315" t="str">
        <f t="shared" ca="1" si="168"/>
        <v/>
      </c>
      <c r="AA349" s="316" t="str">
        <f t="shared" ca="1" si="169"/>
        <v/>
      </c>
      <c r="AC349" s="310" t="e">
        <f t="shared" ca="1" si="170"/>
        <v>#N/A</v>
      </c>
      <c r="AD349" s="323" t="e">
        <f t="shared" ca="1" si="171"/>
        <v>#N/A</v>
      </c>
      <c r="AE349" s="324">
        <f t="shared" ca="1" si="150"/>
        <v>460.32790093415389</v>
      </c>
      <c r="AG349" s="306">
        <f t="shared" ca="1" si="172"/>
        <v>-17.269600524489782</v>
      </c>
      <c r="AH349" s="304">
        <f t="shared" ca="1" si="173"/>
        <v>-7.5237429276359098</v>
      </c>
    </row>
    <row r="350" spans="1:34" x14ac:dyDescent="0.2">
      <c r="A350" s="347">
        <f t="shared" ca="1" si="151"/>
        <v>0.01</v>
      </c>
      <c r="B350" s="304">
        <f t="shared" ca="1" si="152"/>
        <v>3.4599999999999702</v>
      </c>
      <c r="D350" s="306">
        <f t="shared" ca="1" si="153"/>
        <v>-0.9528517401199128</v>
      </c>
      <c r="E350" s="307">
        <f t="shared" ca="1" si="154"/>
        <v>-18.097674912363587</v>
      </c>
      <c r="F350" s="304">
        <f t="shared" ca="1" si="155"/>
        <v>18.122741615777784</v>
      </c>
      <c r="G350" s="306">
        <f t="shared" ca="1" si="156"/>
        <v>24.277311171527298</v>
      </c>
      <c r="H350" s="307">
        <f t="shared" ca="1" si="157"/>
        <v>211.06010464429252</v>
      </c>
      <c r="I350" s="304">
        <f t="shared" ca="1" si="158"/>
        <v>212.45177243360166</v>
      </c>
      <c r="J350" s="306">
        <f t="shared" ca="1" si="159"/>
        <v>49.694554676844618</v>
      </c>
      <c r="K350" s="307">
        <f t="shared" ca="1" si="160"/>
        <v>462.43940686434246</v>
      </c>
      <c r="L350" s="304">
        <f t="shared" ca="1" si="145"/>
        <v>465.10187463132712</v>
      </c>
      <c r="M350" s="306">
        <f t="shared" ca="1" si="161"/>
        <v>1.4562740529521425</v>
      </c>
      <c r="N350" s="304">
        <f t="shared" ca="1" si="162"/>
        <v>83.438357048568733</v>
      </c>
      <c r="P350" s="310">
        <f t="shared" ca="1" si="163"/>
        <v>9</v>
      </c>
      <c r="Q350" s="304">
        <f t="shared" ca="1" si="164"/>
        <v>75.777777777795279</v>
      </c>
      <c r="R350" s="306">
        <f t="shared" ca="1" si="165"/>
        <v>3.8029336049623011E-2</v>
      </c>
      <c r="S350" s="307">
        <f t="shared" ca="1" si="166"/>
        <v>6.8543683763438077</v>
      </c>
      <c r="T350" s="304">
        <f t="shared" ca="1" si="146"/>
        <v>67.241353771932751</v>
      </c>
      <c r="U350" s="311">
        <f t="shared" ca="1" si="147"/>
        <v>0</v>
      </c>
      <c r="V350" s="306">
        <f t="shared" ca="1" si="148"/>
        <v>1.1696314037006963</v>
      </c>
      <c r="W350" s="304">
        <f t="shared" ca="1" si="149"/>
        <v>132.70462421634446</v>
      </c>
      <c r="Y350" s="314" t="str">
        <f t="shared" ca="1" si="167"/>
        <v/>
      </c>
      <c r="Z350" s="315" t="str">
        <f t="shared" ca="1" si="168"/>
        <v/>
      </c>
      <c r="AA350" s="316" t="str">
        <f t="shared" ca="1" si="169"/>
        <v/>
      </c>
      <c r="AC350" s="310" t="e">
        <f t="shared" ca="1" si="170"/>
        <v>#N/A</v>
      </c>
      <c r="AD350" s="323" t="e">
        <f t="shared" ca="1" si="171"/>
        <v>#N/A</v>
      </c>
      <c r="AE350" s="324">
        <f t="shared" ca="1" si="150"/>
        <v>462.43940686434246</v>
      </c>
      <c r="AG350" s="306">
        <f t="shared" ca="1" si="172"/>
        <v>-18.08806937895006</v>
      </c>
      <c r="AH350" s="304">
        <f t="shared" ca="1" si="173"/>
        <v>-8.3422707874816844</v>
      </c>
    </row>
    <row r="351" spans="1:34" x14ac:dyDescent="0.2">
      <c r="A351" s="347">
        <f t="shared" ca="1" si="151"/>
        <v>0.01</v>
      </c>
      <c r="B351" s="304">
        <f t="shared" ca="1" si="152"/>
        <v>3.46999999999997</v>
      </c>
      <c r="D351" s="306">
        <f t="shared" ca="1" si="153"/>
        <v>-1.0466640962195646</v>
      </c>
      <c r="E351" s="307">
        <f t="shared" ca="1" si="154"/>
        <v>-18.909402817500229</v>
      </c>
      <c r="F351" s="304">
        <f t="shared" ca="1" si="155"/>
        <v>18.938347885832087</v>
      </c>
      <c r="G351" s="306">
        <f t="shared" ca="1" si="156"/>
        <v>24.266844530565102</v>
      </c>
      <c r="H351" s="307">
        <f t="shared" ca="1" si="157"/>
        <v>210.87101061611753</v>
      </c>
      <c r="I351" s="304">
        <f t="shared" ca="1" si="158"/>
        <v>212.26272131896681</v>
      </c>
      <c r="J351" s="306">
        <f t="shared" ca="1" si="159"/>
        <v>49.937275455355078</v>
      </c>
      <c r="K351" s="307">
        <f t="shared" ca="1" si="160"/>
        <v>464.54906244064449</v>
      </c>
      <c r="L351" s="304">
        <f t="shared" ca="1" si="145"/>
        <v>467.22538768177594</v>
      </c>
      <c r="M351" s="306">
        <f t="shared" ca="1" si="161"/>
        <v>1.4562212406005377</v>
      </c>
      <c r="N351" s="304">
        <f t="shared" ca="1" si="162"/>
        <v>83.435331123715613</v>
      </c>
      <c r="P351" s="310">
        <f t="shared" ca="1" si="163"/>
        <v>9</v>
      </c>
      <c r="Q351" s="304">
        <f t="shared" ca="1" si="164"/>
        <v>69.925925925943545</v>
      </c>
      <c r="R351" s="306">
        <f t="shared" ca="1" si="165"/>
        <v>3.5092564253025295E-2</v>
      </c>
      <c r="S351" s="307">
        <f t="shared" ca="1" si="166"/>
        <v>6.8540174507012779</v>
      </c>
      <c r="T351" s="304">
        <f t="shared" ca="1" si="146"/>
        <v>67.237911191379538</v>
      </c>
      <c r="U351" s="311">
        <f t="shared" ca="1" si="147"/>
        <v>0</v>
      </c>
      <c r="V351" s="306">
        <f t="shared" ca="1" si="148"/>
        <v>1.1693845452197889</v>
      </c>
      <c r="W351" s="304">
        <f t="shared" ca="1" si="149"/>
        <v>132.44059537839991</v>
      </c>
      <c r="Y351" s="314" t="str">
        <f t="shared" ca="1" si="167"/>
        <v/>
      </c>
      <c r="Z351" s="315" t="str">
        <f t="shared" ca="1" si="168"/>
        <v/>
      </c>
      <c r="AA351" s="316" t="str">
        <f t="shared" ca="1" si="169"/>
        <v/>
      </c>
      <c r="AC351" s="310" t="e">
        <f t="shared" ca="1" si="170"/>
        <v>#N/A</v>
      </c>
      <c r="AD351" s="323" t="e">
        <f t="shared" ca="1" si="171"/>
        <v>#N/A</v>
      </c>
      <c r="AE351" s="324">
        <f t="shared" ca="1" si="150"/>
        <v>464.54906244064449</v>
      </c>
      <c r="AG351" s="306">
        <f t="shared" ca="1" si="172"/>
        <v>-18.90514106505718</v>
      </c>
      <c r="AH351" s="304">
        <f t="shared" ca="1" si="173"/>
        <v>-9.1594015833702933</v>
      </c>
    </row>
    <row r="352" spans="1:34" x14ac:dyDescent="0.2">
      <c r="A352" s="347">
        <f t="shared" ca="1" si="151"/>
        <v>0.01</v>
      </c>
      <c r="B352" s="304">
        <f t="shared" ca="1" si="152"/>
        <v>3.4799999999999698</v>
      </c>
      <c r="D352" s="306">
        <f t="shared" ca="1" si="153"/>
        <v>-1.1381632578997423</v>
      </c>
      <c r="E352" s="307">
        <f t="shared" ca="1" si="154"/>
        <v>-19.700269669678491</v>
      </c>
      <c r="F352" s="304">
        <f t="shared" ca="1" si="155"/>
        <v>19.733120398449081</v>
      </c>
      <c r="G352" s="306">
        <f t="shared" ca="1" si="156"/>
        <v>24.255462897986103</v>
      </c>
      <c r="H352" s="307">
        <f t="shared" ca="1" si="157"/>
        <v>210.67400791942075</v>
      </c>
      <c r="I352" s="304">
        <f t="shared" ca="1" si="158"/>
        <v>212.06570937619247</v>
      </c>
      <c r="J352" s="306">
        <f t="shared" ca="1" si="159"/>
        <v>50.179886992497835</v>
      </c>
      <c r="K352" s="307">
        <f t="shared" ca="1" si="160"/>
        <v>466.65678753332219</v>
      </c>
      <c r="L352" s="304">
        <f t="shared" ca="1" si="145"/>
        <v>469.34697017185488</v>
      </c>
      <c r="M352" s="306">
        <f t="shared" ca="1" si="161"/>
        <v>1.4561683549150468</v>
      </c>
      <c r="N352" s="304">
        <f t="shared" ca="1" si="162"/>
        <v>83.432300997140331</v>
      </c>
      <c r="P352" s="310">
        <f t="shared" ca="1" si="163"/>
        <v>10</v>
      </c>
      <c r="Q352" s="304">
        <f t="shared" ca="1" si="164"/>
        <v>64.20833333335024</v>
      </c>
      <c r="R352" s="306">
        <f t="shared" ca="1" si="165"/>
        <v>3.2223170923279483E-2</v>
      </c>
      <c r="S352" s="307">
        <f t="shared" ca="1" si="166"/>
        <v>6.853695218992045</v>
      </c>
      <c r="T352" s="304">
        <f t="shared" ca="1" si="146"/>
        <v>67.234750098311963</v>
      </c>
      <c r="U352" s="311">
        <f t="shared" ca="1" si="147"/>
        <v>0</v>
      </c>
      <c r="V352" s="306">
        <f t="shared" ca="1" si="148"/>
        <v>1.1691379634531687</v>
      </c>
      <c r="W352" s="304">
        <f t="shared" ca="1" si="149"/>
        <v>132.16698441036201</v>
      </c>
      <c r="Y352" s="314" t="str">
        <f t="shared" ca="1" si="167"/>
        <v/>
      </c>
      <c r="Z352" s="315" t="str">
        <f t="shared" ca="1" si="168"/>
        <v/>
      </c>
      <c r="AA352" s="316" t="str">
        <f t="shared" ca="1" si="169"/>
        <v/>
      </c>
      <c r="AC352" s="310" t="e">
        <f t="shared" ca="1" si="170"/>
        <v>#N/A</v>
      </c>
      <c r="AD352" s="323" t="e">
        <f t="shared" ca="1" si="171"/>
        <v>#N/A</v>
      </c>
      <c r="AE352" s="324">
        <f t="shared" ca="1" si="150"/>
        <v>466.65678753332219</v>
      </c>
      <c r="AG352" s="306">
        <f t="shared" ca="1" si="172"/>
        <v>-19.701223933716413</v>
      </c>
      <c r="AH352" s="304">
        <f t="shared" ca="1" si="173"/>
        <v>-9.9555436687603986</v>
      </c>
    </row>
    <row r="353" spans="1:34" x14ac:dyDescent="0.2">
      <c r="A353" s="347">
        <f t="shared" ca="1" si="151"/>
        <v>0.01</v>
      </c>
      <c r="B353" s="304">
        <f t="shared" ca="1" si="152"/>
        <v>3.4899999999999696</v>
      </c>
      <c r="D353" s="306">
        <f t="shared" ca="1" si="153"/>
        <v>-1.2273496920622329</v>
      </c>
      <c r="E353" s="307">
        <f t="shared" ca="1" si="154"/>
        <v>-20.470306910361462</v>
      </c>
      <c r="F353" s="304">
        <f t="shared" ca="1" si="155"/>
        <v>20.507068349010726</v>
      </c>
      <c r="G353" s="306">
        <f t="shared" ca="1" si="156"/>
        <v>24.243189401065482</v>
      </c>
      <c r="H353" s="307">
        <f t="shared" ca="1" si="157"/>
        <v>210.46930485031714</v>
      </c>
      <c r="I353" s="304">
        <f t="shared" ca="1" si="158"/>
        <v>211.86094618053528</v>
      </c>
      <c r="J353" s="306">
        <f t="shared" ca="1" si="159"/>
        <v>50.42238025399309</v>
      </c>
      <c r="K353" s="307">
        <f t="shared" ca="1" si="160"/>
        <v>468.7625040971709</v>
      </c>
      <c r="L353" s="304">
        <f t="shared" ca="1" si="145"/>
        <v>471.46654354039634</v>
      </c>
      <c r="M353" s="306">
        <f t="shared" ca="1" si="161"/>
        <v>1.4561153937881102</v>
      </c>
      <c r="N353" s="304">
        <f t="shared" ca="1" si="162"/>
        <v>83.429266548088606</v>
      </c>
      <c r="P353" s="310">
        <f t="shared" ca="1" si="163"/>
        <v>10</v>
      </c>
      <c r="Q353" s="304">
        <f t="shared" ca="1" si="164"/>
        <v>58.625000000017017</v>
      </c>
      <c r="R353" s="306">
        <f t="shared" ca="1" si="165"/>
        <v>2.9421156060386408E-2</v>
      </c>
      <c r="S353" s="307">
        <f t="shared" ca="1" si="166"/>
        <v>6.8534010074314411</v>
      </c>
      <c r="T353" s="304">
        <f t="shared" ca="1" si="146"/>
        <v>67.231863882902445</v>
      </c>
      <c r="U353" s="311">
        <f t="shared" ca="1" si="147"/>
        <v>0</v>
      </c>
      <c r="V353" s="306">
        <f t="shared" ca="1" si="148"/>
        <v>1.1688916673732384</v>
      </c>
      <c r="W353" s="304">
        <f t="shared" ca="1" si="149"/>
        <v>131.88408686802856</v>
      </c>
      <c r="Y353" s="314" t="str">
        <f t="shared" ca="1" si="167"/>
        <v/>
      </c>
      <c r="Z353" s="315" t="str">
        <f t="shared" ca="1" si="168"/>
        <v/>
      </c>
      <c r="AA353" s="316" t="str">
        <f t="shared" ca="1" si="169"/>
        <v/>
      </c>
      <c r="AC353" s="310" t="e">
        <f t="shared" ca="1" si="170"/>
        <v>#N/A</v>
      </c>
      <c r="AD353" s="323" t="e">
        <f t="shared" ca="1" si="171"/>
        <v>#N/A</v>
      </c>
      <c r="AE353" s="324">
        <f t="shared" ca="1" si="150"/>
        <v>468.7625040971709</v>
      </c>
      <c r="AG353" s="306">
        <f t="shared" ca="1" si="172"/>
        <v>-20.476349277959336</v>
      </c>
      <c r="AH353" s="304">
        <f t="shared" ca="1" si="173"/>
        <v>-10.730728339199795</v>
      </c>
    </row>
    <row r="354" spans="1:34" x14ac:dyDescent="0.2">
      <c r="A354" s="347">
        <f t="shared" ca="1" si="151"/>
        <v>0.01</v>
      </c>
      <c r="B354" s="304">
        <f t="shared" ca="1" si="152"/>
        <v>3.4999999999999694</v>
      </c>
      <c r="D354" s="306">
        <f t="shared" ca="1" si="153"/>
        <v>-1.3164656105732926</v>
      </c>
      <c r="E354" s="307">
        <f t="shared" ca="1" si="154"/>
        <v>-21.239007847644494</v>
      </c>
      <c r="F354" s="304">
        <f t="shared" ca="1" si="155"/>
        <v>21.279768233139347</v>
      </c>
      <c r="G354" s="306">
        <f t="shared" ca="1" si="156"/>
        <v>24.230024744959749</v>
      </c>
      <c r="H354" s="307">
        <f t="shared" ca="1" si="157"/>
        <v>210.25691477184071</v>
      </c>
      <c r="I354" s="304">
        <f t="shared" ca="1" si="158"/>
        <v>211.64844508881808</v>
      </c>
      <c r="J354" s="306">
        <f t="shared" ca="1" si="159"/>
        <v>50.664746324723218</v>
      </c>
      <c r="K354" s="307">
        <f t="shared" ca="1" si="160"/>
        <v>470.86613519528169</v>
      </c>
      <c r="L354" s="304">
        <f t="shared" ca="1" si="145"/>
        <v>473.58403034085711</v>
      </c>
      <c r="M354" s="306">
        <f t="shared" ca="1" si="161"/>
        <v>1.4560623551001395</v>
      </c>
      <c r="N354" s="304">
        <f t="shared" ca="1" si="162"/>
        <v>83.426227655116975</v>
      </c>
      <c r="P354" s="310">
        <f t="shared" ca="1" si="163"/>
        <v>10</v>
      </c>
      <c r="Q354" s="304">
        <f t="shared" ca="1" si="164"/>
        <v>53.041666666683788</v>
      </c>
      <c r="R354" s="306">
        <f t="shared" ca="1" si="165"/>
        <v>2.661914119749333E-2</v>
      </c>
      <c r="S354" s="307">
        <f t="shared" ca="1" si="166"/>
        <v>6.8531348160194661</v>
      </c>
      <c r="T354" s="304">
        <f t="shared" ca="1" si="146"/>
        <v>67.22925254515097</v>
      </c>
      <c r="U354" s="311">
        <f t="shared" ca="1" si="147"/>
        <v>0</v>
      </c>
      <c r="V354" s="306">
        <f t="shared" ca="1" si="148"/>
        <v>1.1686456658155251</v>
      </c>
      <c r="W354" s="304">
        <f t="shared" ca="1" si="149"/>
        <v>131.59195409988513</v>
      </c>
      <c r="Y354" s="314" t="str">
        <f t="shared" ca="1" si="167"/>
        <v/>
      </c>
      <c r="Z354" s="315" t="str">
        <f t="shared" ca="1" si="168"/>
        <v/>
      </c>
      <c r="AA354" s="316" t="str">
        <f t="shared" ca="1" si="169"/>
        <v>Satellite</v>
      </c>
      <c r="AC354" s="310" t="e">
        <f t="shared" ca="1" si="170"/>
        <v>#N/A</v>
      </c>
      <c r="AD354" s="323" t="e">
        <f t="shared" ca="1" si="171"/>
        <v>#N/A</v>
      </c>
      <c r="AE354" s="324">
        <f t="shared" ca="1" si="150"/>
        <v>470.86613519528169</v>
      </c>
      <c r="AG354" s="306">
        <f t="shared" ca="1" si="172"/>
        <v>-21.250138941156646</v>
      </c>
      <c r="AH354" s="304">
        <f t="shared" ca="1" si="173"/>
        <v>-11.504577440538245</v>
      </c>
    </row>
    <row r="355" spans="1:34" x14ac:dyDescent="0.2">
      <c r="A355" s="347">
        <f t="shared" ca="1" si="151"/>
        <v>0.01</v>
      </c>
      <c r="B355" s="304">
        <f t="shared" ca="1" si="152"/>
        <v>3.5099999999999691</v>
      </c>
      <c r="D355" s="306">
        <f t="shared" ca="1" si="153"/>
        <v>-1.4055107549943295</v>
      </c>
      <c r="E355" s="307">
        <f t="shared" ca="1" si="154"/>
        <v>-22.006370335330391</v>
      </c>
      <c r="F355" s="304">
        <f t="shared" ca="1" si="155"/>
        <v>22.051208488836028</v>
      </c>
      <c r="G355" s="306">
        <f t="shared" ca="1" si="156"/>
        <v>24.215969637409806</v>
      </c>
      <c r="H355" s="307">
        <f t="shared" ca="1" si="157"/>
        <v>210.03685106848741</v>
      </c>
      <c r="I355" s="304">
        <f t="shared" ca="1" si="158"/>
        <v>211.42821947943921</v>
      </c>
      <c r="J355" s="306">
        <f t="shared" ca="1" si="159"/>
        <v>50.906976296635065</v>
      </c>
      <c r="K355" s="307">
        <f t="shared" ca="1" si="160"/>
        <v>472.96760402448331</v>
      </c>
      <c r="L355" s="304">
        <f t="shared" ca="1" si="145"/>
        <v>475.69935326036187</v>
      </c>
      <c r="M355" s="306">
        <f t="shared" ca="1" si="161"/>
        <v>1.4560092367190245</v>
      </c>
      <c r="N355" s="304">
        <f t="shared" ca="1" si="162"/>
        <v>83.423184196064511</v>
      </c>
      <c r="P355" s="310">
        <f t="shared" ca="1" si="163"/>
        <v>10</v>
      </c>
      <c r="Q355" s="304">
        <f t="shared" ca="1" si="164"/>
        <v>47.458333333350552</v>
      </c>
      <c r="R355" s="306">
        <f t="shared" ca="1" si="165"/>
        <v>2.3817126334600251E-2</v>
      </c>
      <c r="S355" s="307">
        <f t="shared" ca="1" si="166"/>
        <v>6.8528966447561199</v>
      </c>
      <c r="T355" s="304">
        <f t="shared" ca="1" si="146"/>
        <v>67.226916085057539</v>
      </c>
      <c r="U355" s="311">
        <f t="shared" ca="1" si="147"/>
        <v>0</v>
      </c>
      <c r="V355" s="306">
        <f t="shared" ca="1" si="148"/>
        <v>1.1683999675927685</v>
      </c>
      <c r="W355" s="304">
        <f t="shared" ca="1" si="149"/>
        <v>131.29063840871149</v>
      </c>
      <c r="Y355" s="314" t="str">
        <f t="shared" ca="1" si="167"/>
        <v/>
      </c>
      <c r="Z355" s="315" t="str">
        <f t="shared" ca="1" si="168"/>
        <v/>
      </c>
      <c r="AA355" s="316" t="str">
        <f t="shared" ca="1" si="169"/>
        <v/>
      </c>
      <c r="AC355" s="310" t="e">
        <f t="shared" ca="1" si="170"/>
        <v>#N/A</v>
      </c>
      <c r="AD355" s="323" t="e">
        <f t="shared" ca="1" si="171"/>
        <v>#N/A</v>
      </c>
      <c r="AE355" s="324">
        <f t="shared" ca="1" si="150"/>
        <v>472.96760402448331</v>
      </c>
      <c r="AG355" s="306">
        <f t="shared" ca="1" si="172"/>
        <v>-22.022590765785878</v>
      </c>
      <c r="AH355" s="304">
        <f t="shared" ca="1" si="173"/>
        <v>-12.277088817750398</v>
      </c>
    </row>
    <row r="356" spans="1:34" x14ac:dyDescent="0.2">
      <c r="A356" s="347">
        <f t="shared" ca="1" si="151"/>
        <v>0.01</v>
      </c>
      <c r="B356" s="304">
        <f t="shared" ca="1" si="152"/>
        <v>3.5199999999999689</v>
      </c>
      <c r="D356" s="306">
        <f t="shared" ca="1" si="153"/>
        <v>-1.4944848921587173</v>
      </c>
      <c r="E356" s="307">
        <f t="shared" ca="1" si="154"/>
        <v>-22.772392397185868</v>
      </c>
      <c r="F356" s="304">
        <f t="shared" ca="1" si="155"/>
        <v>22.821379024596638</v>
      </c>
      <c r="G356" s="306">
        <f t="shared" ca="1" si="156"/>
        <v>24.201024788488219</v>
      </c>
      <c r="H356" s="307">
        <f t="shared" ca="1" si="157"/>
        <v>209.80912714451554</v>
      </c>
      <c r="I356" s="304">
        <f t="shared" ca="1" si="158"/>
        <v>211.20028275065474</v>
      </c>
      <c r="J356" s="306">
        <f t="shared" ca="1" si="159"/>
        <v>51.149061268764555</v>
      </c>
      <c r="K356" s="307">
        <f t="shared" ca="1" si="160"/>
        <v>475.06683391554833</v>
      </c>
      <c r="L356" s="304">
        <f t="shared" ca="1" si="145"/>
        <v>477.81243511991084</v>
      </c>
      <c r="M356" s="306">
        <f t="shared" ca="1" si="161"/>
        <v>1.4559560364996336</v>
      </c>
      <c r="N356" s="304">
        <f t="shared" ca="1" si="162"/>
        <v>83.420136048024247</v>
      </c>
      <c r="P356" s="310">
        <f t="shared" ca="1" si="163"/>
        <v>10</v>
      </c>
      <c r="Q356" s="304">
        <f t="shared" ca="1" si="164"/>
        <v>41.875000000017323</v>
      </c>
      <c r="R356" s="306">
        <f t="shared" ca="1" si="165"/>
        <v>2.1015111471707173E-2</v>
      </c>
      <c r="S356" s="307">
        <f t="shared" ca="1" si="166"/>
        <v>6.8526864936414027</v>
      </c>
      <c r="T356" s="304">
        <f t="shared" ca="1" si="146"/>
        <v>67.224854502622165</v>
      </c>
      <c r="U356" s="311">
        <f t="shared" ca="1" si="147"/>
        <v>0</v>
      </c>
      <c r="V356" s="306">
        <f t="shared" ca="1" si="148"/>
        <v>1.1681545814949355</v>
      </c>
      <c r="W356" s="304">
        <f t="shared" ca="1" si="149"/>
        <v>130.98019304161073</v>
      </c>
      <c r="Y356" s="314" t="str">
        <f t="shared" ca="1" si="167"/>
        <v/>
      </c>
      <c r="Z356" s="315" t="str">
        <f t="shared" ca="1" si="168"/>
        <v/>
      </c>
      <c r="AA356" s="316" t="str">
        <f t="shared" ca="1" si="169"/>
        <v/>
      </c>
      <c r="AC356" s="310" t="e">
        <f t="shared" ca="1" si="170"/>
        <v>#N/A</v>
      </c>
      <c r="AD356" s="323" t="e">
        <f t="shared" ca="1" si="171"/>
        <v>#N/A</v>
      </c>
      <c r="AE356" s="324">
        <f t="shared" ca="1" si="150"/>
        <v>475.06683391554833</v>
      </c>
      <c r="AG356" s="306">
        <f t="shared" ca="1" si="172"/>
        <v>-22.793702766066303</v>
      </c>
      <c r="AH356" s="304">
        <f t="shared" ca="1" si="173"/>
        <v>-13.048260487571232</v>
      </c>
    </row>
    <row r="357" spans="1:34" x14ac:dyDescent="0.2">
      <c r="A357" s="347">
        <f t="shared" ca="1" si="151"/>
        <v>0.01</v>
      </c>
      <c r="B357" s="304">
        <f t="shared" ca="1" si="152"/>
        <v>3.5299999999999687</v>
      </c>
      <c r="D357" s="306">
        <f t="shared" ca="1" si="153"/>
        <v>-1.5833878140878321</v>
      </c>
      <c r="E357" s="307">
        <f t="shared" ca="1" si="154"/>
        <v>-23.53707222559656</v>
      </c>
      <c r="F357" s="304">
        <f t="shared" ca="1" si="155"/>
        <v>23.590271001469034</v>
      </c>
      <c r="G357" s="306">
        <f t="shared" ca="1" si="156"/>
        <v>24.185190910347341</v>
      </c>
      <c r="H357" s="307">
        <f t="shared" ca="1" si="157"/>
        <v>209.57375642225958</v>
      </c>
      <c r="I357" s="304">
        <f t="shared" ca="1" si="158"/>
        <v>210.96464831887482</v>
      </c>
      <c r="J357" s="306">
        <f t="shared" ca="1" si="159"/>
        <v>51.390992347258731</v>
      </c>
      <c r="K357" s="307">
        <f t="shared" ca="1" si="160"/>
        <v>477.16374833338222</v>
      </c>
      <c r="L357" s="304">
        <f t="shared" ca="1" si="145"/>
        <v>479.92319887456921</v>
      </c>
      <c r="M357" s="306">
        <f t="shared" ca="1" si="161"/>
        <v>1.4559027522833057</v>
      </c>
      <c r="N357" s="304">
        <f t="shared" ca="1" si="162"/>
        <v>83.417083087313998</v>
      </c>
      <c r="P357" s="310">
        <f t="shared" ca="1" si="163"/>
        <v>10</v>
      </c>
      <c r="Q357" s="304">
        <f t="shared" ca="1" si="164"/>
        <v>36.291666666684094</v>
      </c>
      <c r="R357" s="306">
        <f t="shared" ca="1" si="165"/>
        <v>1.8213096608814094E-2</v>
      </c>
      <c r="S357" s="307">
        <f t="shared" ca="1" si="166"/>
        <v>6.8525043626753144</v>
      </c>
      <c r="T357" s="304">
        <f t="shared" ca="1" si="146"/>
        <v>67.223067797844834</v>
      </c>
      <c r="U357" s="311">
        <f t="shared" ca="1" si="147"/>
        <v>0</v>
      </c>
      <c r="V357" s="306">
        <f t="shared" ca="1" si="148"/>
        <v>1.1679095162892403</v>
      </c>
      <c r="W357" s="304">
        <f t="shared" ca="1" si="149"/>
        <v>130.6606721800911</v>
      </c>
      <c r="Y357" s="314" t="str">
        <f t="shared" ca="1" si="167"/>
        <v/>
      </c>
      <c r="Z357" s="315" t="str">
        <f t="shared" ca="1" si="168"/>
        <v/>
      </c>
      <c r="AA357" s="316" t="str">
        <f t="shared" ca="1" si="169"/>
        <v/>
      </c>
      <c r="AC357" s="310" t="e">
        <f t="shared" ca="1" si="170"/>
        <v>#N/A</v>
      </c>
      <c r="AD357" s="323" t="e">
        <f t="shared" ca="1" si="171"/>
        <v>#N/A</v>
      </c>
      <c r="AE357" s="324">
        <f t="shared" ca="1" si="150"/>
        <v>477.16374833338222</v>
      </c>
      <c r="AG357" s="306">
        <f t="shared" ca="1" si="172"/>
        <v>-23.563473126614156</v>
      </c>
      <c r="AH357" s="304">
        <f t="shared" ca="1" si="173"/>
        <v>-13.818090637151949</v>
      </c>
    </row>
    <row r="358" spans="1:34" x14ac:dyDescent="0.2">
      <c r="A358" s="347">
        <f t="shared" ca="1" si="151"/>
        <v>0.01</v>
      </c>
      <c r="B358" s="304">
        <f t="shared" ca="1" si="152"/>
        <v>3.5399999999999685</v>
      </c>
      <c r="D358" s="306">
        <f t="shared" ca="1" si="153"/>
        <v>-1.6722193379085999</v>
      </c>
      <c r="E358" s="307">
        <f t="shared" ca="1" si="154"/>
        <v>-24.300408180218749</v>
      </c>
      <c r="F358" s="304">
        <f t="shared" ca="1" si="155"/>
        <v>24.357876657034737</v>
      </c>
      <c r="G358" s="306">
        <f t="shared" ca="1" si="156"/>
        <v>24.168468716968256</v>
      </c>
      <c r="H358" s="307">
        <f t="shared" ca="1" si="157"/>
        <v>209.33075234045739</v>
      </c>
      <c r="I358" s="304">
        <f t="shared" ca="1" si="158"/>
        <v>210.72132961697301</v>
      </c>
      <c r="J358" s="306">
        <f t="shared" ca="1" si="159"/>
        <v>51.632760645395308</v>
      </c>
      <c r="K358" s="307">
        <f t="shared" ca="1" si="160"/>
        <v>479.2582708771958</v>
      </c>
      <c r="L358" s="304">
        <f t="shared" ca="1" si="145"/>
        <v>482.03156761364113</v>
      </c>
      <c r="M358" s="306">
        <f t="shared" ca="1" si="161"/>
        <v>1.4558493818973377</v>
      </c>
      <c r="N358" s="304">
        <f t="shared" ca="1" si="162"/>
        <v>83.414025189447045</v>
      </c>
      <c r="P358" s="310">
        <f t="shared" ca="1" si="163"/>
        <v>10</v>
      </c>
      <c r="Q358" s="304">
        <f t="shared" ca="1" si="164"/>
        <v>30.708333333350872</v>
      </c>
      <c r="R358" s="306">
        <f t="shared" ca="1" si="165"/>
        <v>1.5411081745921019E-2</v>
      </c>
      <c r="S358" s="307">
        <f t="shared" ca="1" si="166"/>
        <v>6.852350251857855</v>
      </c>
      <c r="T358" s="304">
        <f t="shared" ca="1" si="146"/>
        <v>67.221555970725561</v>
      </c>
      <c r="U358" s="311">
        <f t="shared" ca="1" si="147"/>
        <v>0</v>
      </c>
      <c r="V358" s="306">
        <f t="shared" ca="1" si="148"/>
        <v>1.1676647807201648</v>
      </c>
      <c r="W358" s="304">
        <f t="shared" ca="1" si="149"/>
        <v>130.3321309301989</v>
      </c>
      <c r="Y358" s="314" t="str">
        <f t="shared" ca="1" si="167"/>
        <v/>
      </c>
      <c r="Z358" s="315" t="str">
        <f t="shared" ca="1" si="168"/>
        <v/>
      </c>
      <c r="AA358" s="316" t="str">
        <f t="shared" ca="1" si="169"/>
        <v/>
      </c>
      <c r="AC358" s="310" t="e">
        <f t="shared" ca="1" si="170"/>
        <v>#N/A</v>
      </c>
      <c r="AD358" s="323" t="e">
        <f t="shared" ca="1" si="171"/>
        <v>#N/A</v>
      </c>
      <c r="AE358" s="324">
        <f t="shared" ca="1" si="150"/>
        <v>479.2582708771958</v>
      </c>
      <c r="AG358" s="306">
        <f t="shared" ca="1" si="172"/>
        <v>-24.331900201094886</v>
      </c>
      <c r="AH358" s="304">
        <f t="shared" ca="1" si="173"/>
        <v>-14.586577622712802</v>
      </c>
    </row>
    <row r="359" spans="1:34" x14ac:dyDescent="0.2">
      <c r="A359" s="347">
        <f t="shared" ca="1" si="151"/>
        <v>0.01</v>
      </c>
      <c r="B359" s="304">
        <f t="shared" ca="1" si="152"/>
        <v>3.5499999999999683</v>
      </c>
      <c r="D359" s="306">
        <f t="shared" ca="1" si="153"/>
        <v>-1.7609793057725196</v>
      </c>
      <c r="E359" s="307">
        <f t="shared" ca="1" si="154"/>
        <v>-25.06239878662776</v>
      </c>
      <c r="F359" s="304">
        <f t="shared" ca="1" si="155"/>
        <v>25.1241891621465</v>
      </c>
      <c r="G359" s="306">
        <f t="shared" ca="1" si="156"/>
        <v>24.15085892391053</v>
      </c>
      <c r="H359" s="307">
        <f t="shared" ca="1" si="157"/>
        <v>209.08012835259112</v>
      </c>
      <c r="I359" s="304">
        <f t="shared" ca="1" si="158"/>
        <v>210.47034009260926</v>
      </c>
      <c r="J359" s="306">
        <f t="shared" ca="1" si="159"/>
        <v>51.8743572835997</v>
      </c>
      <c r="K359" s="307">
        <f t="shared" ca="1" si="160"/>
        <v>481.35032528066102</v>
      </c>
      <c r="L359" s="304">
        <f t="shared" ca="1" si="145"/>
        <v>484.13746456082566</v>
      </c>
      <c r="M359" s="306">
        <f t="shared" ca="1" si="161"/>
        <v>1.4557959231544639</v>
      </c>
      <c r="N359" s="304">
        <f t="shared" ca="1" si="162"/>
        <v>83.410962229102296</v>
      </c>
      <c r="P359" s="310">
        <f t="shared" ca="1" si="163"/>
        <v>10</v>
      </c>
      <c r="Q359" s="304">
        <f t="shared" ca="1" si="164"/>
        <v>25.125000000017643</v>
      </c>
      <c r="R359" s="306">
        <f t="shared" ca="1" si="165"/>
        <v>1.2609066883027941E-2</v>
      </c>
      <c r="S359" s="307">
        <f t="shared" ca="1" si="166"/>
        <v>6.8522241611890244</v>
      </c>
      <c r="T359" s="304">
        <f t="shared" ca="1" si="146"/>
        <v>67.220319021264331</v>
      </c>
      <c r="U359" s="311">
        <f t="shared" ca="1" si="147"/>
        <v>0</v>
      </c>
      <c r="V359" s="306">
        <f t="shared" ca="1" si="148"/>
        <v>1.1674203835094814</v>
      </c>
      <c r="W359" s="304">
        <f t="shared" ca="1" si="149"/>
        <v>129.99462531270731</v>
      </c>
      <c r="Y359" s="314" t="str">
        <f t="shared" ca="1" si="167"/>
        <v/>
      </c>
      <c r="Z359" s="315" t="str">
        <f t="shared" ca="1" si="168"/>
        <v/>
      </c>
      <c r="AA359" s="316" t="str">
        <f t="shared" ca="1" si="169"/>
        <v/>
      </c>
      <c r="AC359" s="310" t="e">
        <f t="shared" ca="1" si="170"/>
        <v>#N/A</v>
      </c>
      <c r="AD359" s="323" t="e">
        <f t="shared" ca="1" si="171"/>
        <v>#N/A</v>
      </c>
      <c r="AE359" s="324">
        <f t="shared" ca="1" si="150"/>
        <v>481.35032528066102</v>
      </c>
      <c r="AG359" s="306">
        <f t="shared" ca="1" si="172"/>
        <v>-25.098982510872226</v>
      </c>
      <c r="AH359" s="304">
        <f t="shared" ca="1" si="173"/>
        <v>-15.353719968192824</v>
      </c>
    </row>
    <row r="360" spans="1:34" x14ac:dyDescent="0.2">
      <c r="A360" s="347">
        <f t="shared" ca="1" si="151"/>
        <v>0.01</v>
      </c>
      <c r="B360" s="304">
        <f t="shared" ca="1" si="152"/>
        <v>3.5599999999999681</v>
      </c>
      <c r="D360" s="306">
        <f t="shared" ca="1" si="153"/>
        <v>-1.8496675847763233</v>
      </c>
      <c r="E360" s="307">
        <f t="shared" ca="1" si="154"/>
        <v>-25.823042734963792</v>
      </c>
      <c r="F360" s="304">
        <f t="shared" ca="1" si="155"/>
        <v>25.889202503475044</v>
      </c>
      <c r="G360" s="306">
        <f t="shared" ca="1" si="156"/>
        <v>24.132362248062766</v>
      </c>
      <c r="H360" s="307">
        <f t="shared" ca="1" si="157"/>
        <v>208.82189792524147</v>
      </c>
      <c r="I360" s="304">
        <f t="shared" ca="1" si="158"/>
        <v>210.21169320656665</v>
      </c>
      <c r="J360" s="306">
        <f t="shared" ca="1" si="159"/>
        <v>52.115773389459569</v>
      </c>
      <c r="K360" s="307">
        <f t="shared" ca="1" si="160"/>
        <v>483.43983541205017</v>
      </c>
      <c r="L360" s="304">
        <f t="shared" ca="1" si="145"/>
        <v>486.24081307435688</v>
      </c>
      <c r="M360" s="306">
        <f t="shared" ca="1" si="161"/>
        <v>1.4557423738523263</v>
      </c>
      <c r="N360" s="304">
        <f t="shared" ca="1" si="162"/>
        <v>83.407894080093939</v>
      </c>
      <c r="P360" s="310">
        <f t="shared" ca="1" si="163"/>
        <v>10</v>
      </c>
      <c r="Q360" s="304">
        <f t="shared" ca="1" si="164"/>
        <v>19.541666666684407</v>
      </c>
      <c r="R360" s="306">
        <f t="shared" ca="1" si="165"/>
        <v>9.8070520201348592E-3</v>
      </c>
      <c r="S360" s="307">
        <f t="shared" ca="1" si="166"/>
        <v>6.8521260906688228</v>
      </c>
      <c r="T360" s="304">
        <f t="shared" ca="1" si="146"/>
        <v>67.219356949461158</v>
      </c>
      <c r="U360" s="311">
        <f t="shared" ca="1" si="147"/>
        <v>0</v>
      </c>
      <c r="V360" s="306">
        <f t="shared" ca="1" si="148"/>
        <v>1.1671763333562821</v>
      </c>
      <c r="W360" s="304">
        <f t="shared" ca="1" si="149"/>
        <v>129.64821225336112</v>
      </c>
      <c r="Y360" s="314" t="str">
        <f t="shared" ca="1" si="167"/>
        <v/>
      </c>
      <c r="Z360" s="315" t="str">
        <f t="shared" ca="1" si="168"/>
        <v/>
      </c>
      <c r="AA360" s="316" t="str">
        <f t="shared" ca="1" si="169"/>
        <v/>
      </c>
      <c r="AC360" s="310" t="e">
        <f t="shared" ca="1" si="170"/>
        <v>#N/A</v>
      </c>
      <c r="AD360" s="323" t="e">
        <f t="shared" ca="1" si="171"/>
        <v>#N/A</v>
      </c>
      <c r="AE360" s="324">
        <f t="shared" ca="1" si="150"/>
        <v>483.43983541205017</v>
      </c>
      <c r="AG360" s="306">
        <f t="shared" ca="1" si="172"/>
        <v>-25.86471874365493</v>
      </c>
      <c r="AH360" s="304">
        <f t="shared" ca="1" si="173"/>
        <v>-16.11951636389718</v>
      </c>
    </row>
    <row r="361" spans="1:34" x14ac:dyDescent="0.2">
      <c r="A361" s="347">
        <f t="shared" ca="1" si="151"/>
        <v>0.01</v>
      </c>
      <c r="B361" s="304">
        <f t="shared" ca="1" si="152"/>
        <v>3.5699999999999679</v>
      </c>
      <c r="D361" s="306">
        <f t="shared" ca="1" si="153"/>
        <v>-1.9382840668843486</v>
      </c>
      <c r="E361" s="307">
        <f t="shared" ca="1" si="154"/>
        <v>-26.582338878575278</v>
      </c>
      <c r="F361" s="304">
        <f t="shared" ca="1" si="155"/>
        <v>26.652911386551235</v>
      </c>
      <c r="G361" s="306">
        <f t="shared" ca="1" si="156"/>
        <v>24.112979407393922</v>
      </c>
      <c r="H361" s="307">
        <f t="shared" ca="1" si="157"/>
        <v>208.55607453645572</v>
      </c>
      <c r="I361" s="304">
        <f t="shared" ca="1" si="158"/>
        <v>209.94540243110131</v>
      </c>
      <c r="J361" s="306">
        <f t="shared" ca="1" si="159"/>
        <v>52.357000097736851</v>
      </c>
      <c r="K361" s="307">
        <f t="shared" ca="1" si="160"/>
        <v>485.52672527435868</v>
      </c>
      <c r="L361" s="304">
        <f t="shared" ca="1" si="145"/>
        <v>488.3415366471267</v>
      </c>
      <c r="M361" s="306">
        <f t="shared" ca="1" si="161"/>
        <v>1.4556887317729394</v>
      </c>
      <c r="N361" s="304">
        <f t="shared" ca="1" si="162"/>
        <v>83.404820615340768</v>
      </c>
      <c r="P361" s="310">
        <f t="shared" ca="1" si="163"/>
        <v>10</v>
      </c>
      <c r="Q361" s="304">
        <f t="shared" ca="1" si="164"/>
        <v>13.958333333351177</v>
      </c>
      <c r="R361" s="306">
        <f t="shared" ca="1" si="165"/>
        <v>7.0050371572417808E-3</v>
      </c>
      <c r="S361" s="307">
        <f t="shared" ca="1" si="166"/>
        <v>6.8520560402972501</v>
      </c>
      <c r="T361" s="304">
        <f t="shared" ca="1" si="146"/>
        <v>67.218669755316029</v>
      </c>
      <c r="U361" s="311">
        <f t="shared" ca="1" si="147"/>
        <v>0</v>
      </c>
      <c r="V361" s="306">
        <f t="shared" ca="1" si="148"/>
        <v>1.1669326389370034</v>
      </c>
      <c r="W361" s="304">
        <f t="shared" ca="1" si="149"/>
        <v>129.29294957317887</v>
      </c>
      <c r="Y361" s="314" t="str">
        <f t="shared" ca="1" si="167"/>
        <v/>
      </c>
      <c r="Z361" s="315" t="str">
        <f t="shared" ca="1" si="168"/>
        <v/>
      </c>
      <c r="AA361" s="316" t="str">
        <f t="shared" ca="1" si="169"/>
        <v/>
      </c>
      <c r="AC361" s="310" t="e">
        <f t="shared" ca="1" si="170"/>
        <v>#N/A</v>
      </c>
      <c r="AD361" s="323" t="e">
        <f t="shared" ca="1" si="171"/>
        <v>#N/A</v>
      </c>
      <c r="AE361" s="324">
        <f t="shared" ca="1" si="150"/>
        <v>485.52672527435868</v>
      </c>
      <c r="AG361" s="306">
        <f t="shared" ca="1" si="172"/>
        <v>-26.62910775214127</v>
      </c>
      <c r="AH361" s="304">
        <f t="shared" ca="1" si="173"/>
        <v>-16.883965665142341</v>
      </c>
    </row>
    <row r="362" spans="1:34" x14ac:dyDescent="0.2">
      <c r="A362" s="347">
        <f t="shared" ca="1" si="151"/>
        <v>0.01</v>
      </c>
      <c r="B362" s="304">
        <f t="shared" ca="1" si="152"/>
        <v>3.5799999999999677</v>
      </c>
      <c r="D362" s="306">
        <f t="shared" ca="1" si="153"/>
        <v>-2.0268286688526334</v>
      </c>
      <c r="E362" s="307">
        <f t="shared" ca="1" si="154"/>
        <v>-27.340286232660148</v>
      </c>
      <c r="F362" s="304">
        <f t="shared" ca="1" si="155"/>
        <v>27.415311155204293</v>
      </c>
      <c r="G362" s="306">
        <f t="shared" ca="1" si="156"/>
        <v>24.092711120705395</v>
      </c>
      <c r="H362" s="307">
        <f t="shared" ca="1" si="157"/>
        <v>208.28267167412912</v>
      </c>
      <c r="I362" s="304">
        <f t="shared" ca="1" si="158"/>
        <v>209.67148124830624</v>
      </c>
      <c r="J362" s="306">
        <f t="shared" ca="1" si="159"/>
        <v>52.59802855037735</v>
      </c>
      <c r="K362" s="307">
        <f t="shared" ca="1" si="160"/>
        <v>487.61091900541163</v>
      </c>
      <c r="L362" s="304">
        <f t="shared" ca="1" si="145"/>
        <v>490.43955890679172</v>
      </c>
      <c r="M362" s="306">
        <f t="shared" ca="1" si="161"/>
        <v>1.4556349946821452</v>
      </c>
      <c r="N362" s="304">
        <f t="shared" ca="1" si="162"/>
        <v>83.401741706834954</v>
      </c>
      <c r="P362" s="310">
        <f t="shared" ca="1" si="163"/>
        <v>10</v>
      </c>
      <c r="Q362" s="304">
        <f t="shared" ca="1" si="164"/>
        <v>8.3750000000179483</v>
      </c>
      <c r="R362" s="306">
        <f t="shared" ca="1" si="165"/>
        <v>4.2030222943487032E-3</v>
      </c>
      <c r="S362" s="307">
        <f t="shared" ca="1" si="166"/>
        <v>6.8520140100743063</v>
      </c>
      <c r="T362" s="304">
        <f t="shared" ca="1" si="146"/>
        <v>67.218257438828942</v>
      </c>
      <c r="U362" s="311">
        <f t="shared" ca="1" si="147"/>
        <v>0</v>
      </c>
      <c r="V362" s="306">
        <f t="shared" ca="1" si="148"/>
        <v>1.1666893089054597</v>
      </c>
      <c r="W362" s="304">
        <f t="shared" ca="1" si="149"/>
        <v>128.92889597881495</v>
      </c>
      <c r="Y362" s="314" t="str">
        <f t="shared" ca="1" si="167"/>
        <v/>
      </c>
      <c r="Z362" s="315" t="str">
        <f t="shared" ca="1" si="168"/>
        <v/>
      </c>
      <c r="AA362" s="316" t="str">
        <f t="shared" ca="1" si="169"/>
        <v/>
      </c>
      <c r="AC362" s="310" t="e">
        <f t="shared" ca="1" si="170"/>
        <v>#N/A</v>
      </c>
      <c r="AD362" s="323" t="e">
        <f t="shared" ca="1" si="171"/>
        <v>#N/A</v>
      </c>
      <c r="AE362" s="324">
        <f t="shared" ca="1" si="150"/>
        <v>487.61091900541163</v>
      </c>
      <c r="AG362" s="306">
        <f t="shared" ca="1" si="172"/>
        <v>-27.392148552661666</v>
      </c>
      <c r="AH362" s="304">
        <f t="shared" ca="1" si="173"/>
        <v>-17.647066890899371</v>
      </c>
    </row>
    <row r="363" spans="1:34" x14ac:dyDescent="0.2">
      <c r="A363" s="347">
        <f t="shared" ca="1" si="151"/>
        <v>0.01</v>
      </c>
      <c r="B363" s="304">
        <f t="shared" ca="1" si="152"/>
        <v>3.5899999999999674</v>
      </c>
      <c r="D363" s="306">
        <f t="shared" ca="1" si="153"/>
        <v>-2.1153013321549099</v>
      </c>
      <c r="E363" s="307">
        <f t="shared" ca="1" si="154"/>
        <v>-28.096883972905474</v>
      </c>
      <c r="F363" s="304">
        <f t="shared" ca="1" si="155"/>
        <v>28.176397724207558</v>
      </c>
      <c r="G363" s="306">
        <f t="shared" ca="1" si="156"/>
        <v>24.071558107383847</v>
      </c>
      <c r="H363" s="307">
        <f t="shared" ca="1" si="157"/>
        <v>208.00170283440008</v>
      </c>
      <c r="I363" s="304">
        <f t="shared" ca="1" si="158"/>
        <v>209.38994314848847</v>
      </c>
      <c r="J363" s="306">
        <f t="shared" ca="1" si="159"/>
        <v>52.838849896517793</v>
      </c>
      <c r="K363" s="307">
        <f t="shared" ca="1" si="160"/>
        <v>489.69234087795428</v>
      </c>
      <c r="L363" s="304">
        <f t="shared" ca="1" si="145"/>
        <v>492.53480361586355</v>
      </c>
      <c r="M363" s="306">
        <f t="shared" ca="1" si="161"/>
        <v>1.45558116032906</v>
      </c>
      <c r="N363" s="304">
        <f t="shared" ca="1" si="162"/>
        <v>83.39865722561035</v>
      </c>
      <c r="P363" s="310">
        <f t="shared" ca="1" si="163"/>
        <v>10</v>
      </c>
      <c r="Q363" s="304">
        <f t="shared" ca="1" si="164"/>
        <v>2.7916666666847192</v>
      </c>
      <c r="R363" s="306">
        <f t="shared" ca="1" si="165"/>
        <v>1.4010074314556248E-3</v>
      </c>
      <c r="S363" s="307">
        <f t="shared" ca="1" si="166"/>
        <v>6.8519999999999914</v>
      </c>
      <c r="T363" s="304">
        <f t="shared" ca="1" si="146"/>
        <v>67.218119999999914</v>
      </c>
      <c r="U363" s="311">
        <f t="shared" ca="1" si="147"/>
        <v>0</v>
      </c>
      <c r="V363" s="306">
        <f t="shared" ca="1" si="148"/>
        <v>1.1664463518928765</v>
      </c>
      <c r="W363" s="304">
        <f t="shared" ca="1" si="149"/>
        <v>128.55611105298235</v>
      </c>
      <c r="Y363" s="314" t="str">
        <f t="shared" ca="1" si="167"/>
        <v/>
      </c>
      <c r="Z363" s="315" t="str">
        <f t="shared" ca="1" si="168"/>
        <v/>
      </c>
      <c r="AA363" s="316" t="str">
        <f t="shared" ca="1" si="169"/>
        <v/>
      </c>
      <c r="AC363" s="310" t="e">
        <f t="shared" ca="1" si="170"/>
        <v>#N/A</v>
      </c>
      <c r="AD363" s="323" t="e">
        <f t="shared" ca="1" si="171"/>
        <v>#N/A</v>
      </c>
      <c r="AE363" s="324">
        <f t="shared" ca="1" si="150"/>
        <v>489.69234087795428</v>
      </c>
      <c r="AG363" s="306">
        <f t="shared" ca="1" si="172"/>
        <v>-28.153840323819949</v>
      </c>
      <c r="AH363" s="304">
        <f t="shared" ca="1" si="173"/>
        <v>-18.408819222435842</v>
      </c>
    </row>
    <row r="364" spans="1:34" x14ac:dyDescent="0.2">
      <c r="A364" s="347">
        <f t="shared" ca="1" si="151"/>
        <v>0.01</v>
      </c>
      <c r="B364" s="304">
        <f t="shared" ca="1" si="152"/>
        <v>3.5999999999999672</v>
      </c>
      <c r="D364" s="306">
        <f t="shared" ca="1" si="153"/>
        <v>-2.1568689334295601</v>
      </c>
      <c r="E364" s="307">
        <f t="shared" ca="1" si="154"/>
        <v>-28.447447935135884</v>
      </c>
      <c r="F364" s="304">
        <f t="shared" ca="1" si="155"/>
        <v>28.529097034751388</v>
      </c>
      <c r="G364" s="306">
        <f t="shared" ca="1" si="156"/>
        <v>24.049989418049552</v>
      </c>
      <c r="H364" s="307">
        <f t="shared" ca="1" si="157"/>
        <v>207.71722835504872</v>
      </c>
      <c r="I364" s="304">
        <f t="shared" ca="1" si="158"/>
        <v>209.10487547283958</v>
      </c>
      <c r="J364" s="306">
        <f t="shared" ca="1" si="159"/>
        <v>53.079457634144958</v>
      </c>
      <c r="K364" s="307">
        <f t="shared" ca="1" si="160"/>
        <v>491.77093553390154</v>
      </c>
      <c r="L364" s="304">
        <f t="shared" ca="1" si="145"/>
        <v>494.62721504040161</v>
      </c>
      <c r="M364" s="306">
        <f t="shared" ca="1" si="161"/>
        <v>1.4555272274962689</v>
      </c>
      <c r="N364" s="304">
        <f t="shared" ca="1" si="162"/>
        <v>83.395567101914239</v>
      </c>
      <c r="P364" s="310">
        <f t="shared" ca="1" si="163"/>
        <v>23</v>
      </c>
      <c r="Q364" s="304">
        <f t="shared" ca="1" si="164"/>
        <v>0</v>
      </c>
      <c r="R364" s="306">
        <f t="shared" ca="1" si="165"/>
        <v>0</v>
      </c>
      <c r="S364" s="307">
        <f t="shared" ca="1" si="166"/>
        <v>6.8519999999999914</v>
      </c>
      <c r="T364" s="304">
        <f t="shared" ca="1" si="146"/>
        <v>67.218119999999914</v>
      </c>
      <c r="U364" s="311">
        <f t="shared" ca="1" si="147"/>
        <v>0</v>
      </c>
      <c r="V364" s="306">
        <f t="shared" ca="1" si="148"/>
        <v>1.1662037741467819</v>
      </c>
      <c r="W364" s="304">
        <f t="shared" ca="1" si="149"/>
        <v>128.17964940599222</v>
      </c>
      <c r="Y364" s="314" t="str">
        <f t="shared" ca="1" si="167"/>
        <v>Fin de propulsion</v>
      </c>
      <c r="Z364" s="315" t="str">
        <f t="shared" ca="1" si="168"/>
        <v/>
      </c>
      <c r="AA364" s="316" t="str">
        <f t="shared" ca="1" si="169"/>
        <v/>
      </c>
      <c r="AC364" s="310" t="e">
        <f t="shared" ca="1" si="170"/>
        <v>#N/A</v>
      </c>
      <c r="AD364" s="323" t="e">
        <f t="shared" ca="1" si="171"/>
        <v>#N/A</v>
      </c>
      <c r="AE364" s="324">
        <f t="shared" ca="1" si="150"/>
        <v>491.77093553390154</v>
      </c>
      <c r="AG364" s="306">
        <f t="shared" ca="1" si="172"/>
        <v>-28.506797976583485</v>
      </c>
      <c r="AH364" s="304">
        <f t="shared" ca="1" si="173"/>
        <v>-18.76183757340667</v>
      </c>
    </row>
    <row r="365" spans="1:34" x14ac:dyDescent="0.2">
      <c r="A365" s="347">
        <f t="shared" ca="1" si="151"/>
        <v>0.01</v>
      </c>
      <c r="B365" s="304">
        <f t="shared" ca="1" si="152"/>
        <v>3.609999999999967</v>
      </c>
      <c r="D365" s="306">
        <f t="shared" ca="1" si="153"/>
        <v>-2.1515550168616606</v>
      </c>
      <c r="E365" s="307">
        <f t="shared" ca="1" si="154"/>
        <v>-28.392754320070246</v>
      </c>
      <c r="F365" s="304">
        <f t="shared" ca="1" si="155"/>
        <v>28.474158229356846</v>
      </c>
      <c r="G365" s="306">
        <f t="shared" ca="1" si="156"/>
        <v>24.028473867880937</v>
      </c>
      <c r="H365" s="307">
        <f t="shared" ca="1" si="157"/>
        <v>207.43330081184803</v>
      </c>
      <c r="I365" s="304">
        <f t="shared" ca="1" si="158"/>
        <v>208.82035782489712</v>
      </c>
      <c r="J365" s="306">
        <f t="shared" ca="1" si="159"/>
        <v>53.319849950574614</v>
      </c>
      <c r="K365" s="307">
        <f t="shared" ca="1" si="160"/>
        <v>493.84668817973602</v>
      </c>
      <c r="L365" s="304">
        <f t="shared" ca="1" si="145"/>
        <v>496.71677827998241</v>
      </c>
      <c r="M365" s="306">
        <f t="shared" ca="1" si="161"/>
        <v>1.4554731960114127</v>
      </c>
      <c r="N365" s="304">
        <f t="shared" ca="1" si="162"/>
        <v>83.392471325871156</v>
      </c>
      <c r="P365" s="310">
        <f t="shared" ca="1" si="163"/>
        <v>23</v>
      </c>
      <c r="Q365" s="304">
        <f t="shared" ca="1" si="164"/>
        <v>0</v>
      </c>
      <c r="R365" s="306">
        <f t="shared" ca="1" si="165"/>
        <v>0</v>
      </c>
      <c r="S365" s="307">
        <f t="shared" ca="1" si="166"/>
        <v>6.8519999999999914</v>
      </c>
      <c r="T365" s="304">
        <f t="shared" ca="1" si="146"/>
        <v>67.218119999999914</v>
      </c>
      <c r="U365" s="311">
        <f t="shared" ca="1" si="147"/>
        <v>0</v>
      </c>
      <c r="V365" s="306">
        <f t="shared" ca="1" si="148"/>
        <v>1.1659615771772998</v>
      </c>
      <c r="W365" s="304">
        <f t="shared" ca="1" si="149"/>
        <v>127.8045246048713</v>
      </c>
      <c r="Y365" s="314" t="str">
        <f t="shared" ca="1" si="167"/>
        <v/>
      </c>
      <c r="Z365" s="315" t="str">
        <f t="shared" ca="1" si="168"/>
        <v/>
      </c>
      <c r="AA365" s="316" t="str">
        <f t="shared" ca="1" si="169"/>
        <v/>
      </c>
      <c r="AC365" s="310" t="e">
        <f t="shared" ca="1" si="170"/>
        <v>#N/A</v>
      </c>
      <c r="AD365" s="323" t="e">
        <f t="shared" ca="1" si="171"/>
        <v>#N/A</v>
      </c>
      <c r="AE365" s="324">
        <f t="shared" ca="1" si="150"/>
        <v>493.84668817973602</v>
      </c>
      <c r="AG365" s="306">
        <f t="shared" ca="1" si="172"/>
        <v>-28.451795275770429</v>
      </c>
      <c r="AH365" s="304">
        <f t="shared" ca="1" si="173"/>
        <v>-18.706895710156505</v>
      </c>
    </row>
    <row r="366" spans="1:34" x14ac:dyDescent="0.2">
      <c r="A366" s="347">
        <f t="shared" ca="1" si="151"/>
        <v>0.01</v>
      </c>
      <c r="B366" s="304">
        <f t="shared" ca="1" si="152"/>
        <v>3.6199999999999668</v>
      </c>
      <c r="D366" s="306">
        <f t="shared" ca="1" si="153"/>
        <v>-2.1462594849054946</v>
      </c>
      <c r="E366" s="307">
        <f t="shared" ca="1" si="154"/>
        <v>-28.338254927908395</v>
      </c>
      <c r="F366" s="304">
        <f t="shared" ca="1" si="155"/>
        <v>28.419414528376041</v>
      </c>
      <c r="G366" s="306">
        <f t="shared" ca="1" si="156"/>
        <v>24.007011273031882</v>
      </c>
      <c r="H366" s="307">
        <f t="shared" ca="1" si="157"/>
        <v>207.14991826256895</v>
      </c>
      <c r="I366" s="304">
        <f t="shared" ca="1" si="158"/>
        <v>208.53638825502966</v>
      </c>
      <c r="J366" s="306">
        <f t="shared" ca="1" si="159"/>
        <v>53.56002737627918</v>
      </c>
      <c r="K366" s="307">
        <f t="shared" ca="1" si="160"/>
        <v>495.9196042751081</v>
      </c>
      <c r="L366" s="304">
        <f t="shared" ca="1" si="145"/>
        <v>498.80349882185828</v>
      </c>
      <c r="M366" s="306">
        <f t="shared" ca="1" si="161"/>
        <v>1.4554190657016215</v>
      </c>
      <c r="N366" s="304">
        <f t="shared" ca="1" si="162"/>
        <v>83.389369887576379</v>
      </c>
      <c r="P366" s="310">
        <f t="shared" ca="1" si="163"/>
        <v>23</v>
      </c>
      <c r="Q366" s="304">
        <f t="shared" ca="1" si="164"/>
        <v>0</v>
      </c>
      <c r="R366" s="306">
        <f t="shared" ca="1" si="165"/>
        <v>0</v>
      </c>
      <c r="S366" s="307">
        <f t="shared" ca="1" si="166"/>
        <v>6.8519999999999914</v>
      </c>
      <c r="T366" s="304">
        <f t="shared" ca="1" si="146"/>
        <v>67.218119999999914</v>
      </c>
      <c r="U366" s="311">
        <f t="shared" ca="1" si="147"/>
        <v>0</v>
      </c>
      <c r="V366" s="306">
        <f t="shared" ca="1" si="148"/>
        <v>1.1657197601311542</v>
      </c>
      <c r="W366" s="304">
        <f t="shared" ca="1" si="149"/>
        <v>127.43073036435578</v>
      </c>
      <c r="Y366" s="314" t="str">
        <f t="shared" ca="1" si="167"/>
        <v/>
      </c>
      <c r="Z366" s="315" t="str">
        <f t="shared" ca="1" si="168"/>
        <v/>
      </c>
      <c r="AA366" s="316" t="str">
        <f t="shared" ca="1" si="169"/>
        <v/>
      </c>
      <c r="AC366" s="310" t="e">
        <f t="shared" ca="1" si="170"/>
        <v>#N/A</v>
      </c>
      <c r="AD366" s="323" t="e">
        <f t="shared" ca="1" si="171"/>
        <v>#N/A</v>
      </c>
      <c r="AE366" s="324">
        <f t="shared" ca="1" si="150"/>
        <v>495.9196042751081</v>
      </c>
      <c r="AG366" s="306">
        <f t="shared" ca="1" si="172"/>
        <v>-28.396987538268636</v>
      </c>
      <c r="AH366" s="304">
        <f t="shared" ca="1" si="173"/>
        <v>-18.652148949922864</v>
      </c>
    </row>
    <row r="367" spans="1:34" x14ac:dyDescent="0.2">
      <c r="A367" s="347">
        <f t="shared" ca="1" si="151"/>
        <v>0.01</v>
      </c>
      <c r="B367" s="304">
        <f t="shared" ca="1" si="152"/>
        <v>3.6299999999999666</v>
      </c>
      <c r="D367" s="306">
        <f t="shared" ca="1" si="153"/>
        <v>-2.1409822504929661</v>
      </c>
      <c r="E367" s="307">
        <f t="shared" ca="1" si="154"/>
        <v>-28.283948845495658</v>
      </c>
      <c r="F367" s="304">
        <f t="shared" ca="1" si="155"/>
        <v>28.364865014512954</v>
      </c>
      <c r="G367" s="306">
        <f t="shared" ca="1" si="156"/>
        <v>23.985601450526953</v>
      </c>
      <c r="H367" s="307">
        <f t="shared" ca="1" si="157"/>
        <v>206.86707877411399</v>
      </c>
      <c r="I367" s="304">
        <f t="shared" ca="1" si="158"/>
        <v>208.2529648227823</v>
      </c>
      <c r="J367" s="306">
        <f t="shared" ca="1" si="159"/>
        <v>53.799990439896973</v>
      </c>
      <c r="K367" s="307">
        <f t="shared" ca="1" si="160"/>
        <v>497.98968926029153</v>
      </c>
      <c r="L367" s="304">
        <f t="shared" ca="1" si="145"/>
        <v>500.88738213384329</v>
      </c>
      <c r="M367" s="306">
        <f t="shared" ca="1" si="161"/>
        <v>1.4553648363935137</v>
      </c>
      <c r="N367" s="304">
        <f t="shared" ca="1" si="162"/>
        <v>83.38626277709588</v>
      </c>
      <c r="P367" s="310">
        <f t="shared" ca="1" si="163"/>
        <v>23</v>
      </c>
      <c r="Q367" s="304">
        <f t="shared" ca="1" si="164"/>
        <v>0</v>
      </c>
      <c r="R367" s="306">
        <f t="shared" ca="1" si="165"/>
        <v>0</v>
      </c>
      <c r="S367" s="307">
        <f t="shared" ca="1" si="166"/>
        <v>6.8519999999999914</v>
      </c>
      <c r="T367" s="304">
        <f t="shared" ca="1" si="146"/>
        <v>67.218119999999914</v>
      </c>
      <c r="U367" s="311">
        <f t="shared" ca="1" si="147"/>
        <v>0</v>
      </c>
      <c r="V367" s="306">
        <f t="shared" ca="1" si="148"/>
        <v>1.1654783221582476</v>
      </c>
      <c r="W367" s="304">
        <f t="shared" ca="1" si="149"/>
        <v>127.05826043651375</v>
      </c>
      <c r="Y367" s="314" t="str">
        <f t="shared" ca="1" si="167"/>
        <v/>
      </c>
      <c r="Z367" s="315" t="str">
        <f t="shared" ca="1" si="168"/>
        <v/>
      </c>
      <c r="AA367" s="316" t="str">
        <f t="shared" ca="1" si="169"/>
        <v/>
      </c>
      <c r="AC367" s="310" t="e">
        <f t="shared" ca="1" si="170"/>
        <v>#N/A</v>
      </c>
      <c r="AD367" s="323" t="e">
        <f t="shared" ca="1" si="171"/>
        <v>#N/A</v>
      </c>
      <c r="AE367" s="324">
        <f t="shared" ca="1" si="150"/>
        <v>497.98968926029153</v>
      </c>
      <c r="AG367" s="306">
        <f t="shared" ca="1" si="172"/>
        <v>-28.342373846438282</v>
      </c>
      <c r="AH367" s="304">
        <f t="shared" ca="1" si="173"/>
        <v>-18.597596375416803</v>
      </c>
    </row>
    <row r="368" spans="1:34" x14ac:dyDescent="0.2">
      <c r="A368" s="347">
        <f t="shared" ca="1" si="151"/>
        <v>0.01</v>
      </c>
      <c r="B368" s="304">
        <f t="shared" ca="1" si="152"/>
        <v>3.6399999999999664</v>
      </c>
      <c r="D368" s="306">
        <f t="shared" ca="1" si="153"/>
        <v>-2.1357232270725208</v>
      </c>
      <c r="E368" s="307">
        <f t="shared" ca="1" si="154"/>
        <v>-28.229835165101107</v>
      </c>
      <c r="F368" s="304">
        <f t="shared" ca="1" si="155"/>
        <v>28.310508775919875</v>
      </c>
      <c r="G368" s="306">
        <f t="shared" ca="1" si="156"/>
        <v>23.96424421825623</v>
      </c>
      <c r="H368" s="307">
        <f t="shared" ca="1" si="157"/>
        <v>206.58478042246298</v>
      </c>
      <c r="I368" s="304">
        <f t="shared" ca="1" si="158"/>
        <v>207.97008559682203</v>
      </c>
      <c r="J368" s="306">
        <f t="shared" ca="1" si="159"/>
        <v>54.039739668240891</v>
      </c>
      <c r="K368" s="307">
        <f t="shared" ca="1" si="160"/>
        <v>500.05694855627439</v>
      </c>
      <c r="L368" s="304">
        <f t="shared" ca="1" si="145"/>
        <v>502.96843366440373</v>
      </c>
      <c r="M368" s="306">
        <f t="shared" ca="1" si="161"/>
        <v>1.4553105079131932</v>
      </c>
      <c r="N368" s="304">
        <f t="shared" ca="1" si="162"/>
        <v>83.383149984466158</v>
      </c>
      <c r="P368" s="310">
        <f t="shared" ca="1" si="163"/>
        <v>23</v>
      </c>
      <c r="Q368" s="304">
        <f t="shared" ca="1" si="164"/>
        <v>0</v>
      </c>
      <c r="R368" s="306">
        <f t="shared" ca="1" si="165"/>
        <v>0</v>
      </c>
      <c r="S368" s="307">
        <f t="shared" ca="1" si="166"/>
        <v>6.8519999999999914</v>
      </c>
      <c r="T368" s="304">
        <f t="shared" ca="1" si="146"/>
        <v>67.218119999999914</v>
      </c>
      <c r="U368" s="311">
        <f t="shared" ca="1" si="147"/>
        <v>0</v>
      </c>
      <c r="V368" s="306">
        <f t="shared" ca="1" si="148"/>
        <v>1.1652372624116465</v>
      </c>
      <c r="W368" s="304">
        <f t="shared" ca="1" si="149"/>
        <v>126.6871086104787</v>
      </c>
      <c r="Y368" s="314" t="str">
        <f t="shared" ca="1" si="167"/>
        <v/>
      </c>
      <c r="Z368" s="315" t="str">
        <f t="shared" ca="1" si="168"/>
        <v/>
      </c>
      <c r="AA368" s="316" t="str">
        <f t="shared" ca="1" si="169"/>
        <v/>
      </c>
      <c r="AC368" s="310" t="e">
        <f t="shared" ca="1" si="170"/>
        <v>#N/A</v>
      </c>
      <c r="AD368" s="323" t="e">
        <f t="shared" ca="1" si="171"/>
        <v>#N/A</v>
      </c>
      <c r="AE368" s="324">
        <f t="shared" ca="1" si="150"/>
        <v>500.05694855627439</v>
      </c>
      <c r="AG368" s="306">
        <f t="shared" ca="1" si="172"/>
        <v>-28.287953288086648</v>
      </c>
      <c r="AH368" s="304">
        <f t="shared" ca="1" si="173"/>
        <v>-18.543237074797709</v>
      </c>
    </row>
    <row r="369" spans="1:34" x14ac:dyDescent="0.2">
      <c r="A369" s="347">
        <f t="shared" ca="1" si="151"/>
        <v>0.01</v>
      </c>
      <c r="B369" s="304">
        <f t="shared" ca="1" si="152"/>
        <v>3.6499999999999662</v>
      </c>
      <c r="D369" s="306">
        <f t="shared" ca="1" si="153"/>
        <v>-2.130482328605467</v>
      </c>
      <c r="E369" s="307">
        <f t="shared" ca="1" si="154"/>
        <v>-28.175912984378868</v>
      </c>
      <c r="F369" s="304">
        <f t="shared" ca="1" si="155"/>
        <v>28.256344906158507</v>
      </c>
      <c r="G369" s="306">
        <f t="shared" ca="1" si="156"/>
        <v>23.942939394970175</v>
      </c>
      <c r="H369" s="307">
        <f t="shared" ca="1" si="157"/>
        <v>206.30302129261921</v>
      </c>
      <c r="I369" s="304">
        <f t="shared" ca="1" si="158"/>
        <v>207.68774865488362</v>
      </c>
      <c r="J369" s="306">
        <f t="shared" ca="1" si="159"/>
        <v>54.279275586307023</v>
      </c>
      <c r="K369" s="307">
        <f t="shared" ca="1" si="160"/>
        <v>502.12138756484978</v>
      </c>
      <c r="L369" s="304">
        <f t="shared" ca="1" si="145"/>
        <v>505.04665884274925</v>
      </c>
      <c r="M369" s="306">
        <f t="shared" ca="1" si="161"/>
        <v>1.4552560800862491</v>
      </c>
      <c r="N369" s="304">
        <f t="shared" ca="1" si="162"/>
        <v>83.380031499694198</v>
      </c>
      <c r="P369" s="310">
        <f t="shared" ca="1" si="163"/>
        <v>23</v>
      </c>
      <c r="Q369" s="304">
        <f t="shared" ca="1" si="164"/>
        <v>0</v>
      </c>
      <c r="R369" s="306">
        <f t="shared" ca="1" si="165"/>
        <v>0</v>
      </c>
      <c r="S369" s="307">
        <f t="shared" ca="1" si="166"/>
        <v>6.8519999999999914</v>
      </c>
      <c r="T369" s="304">
        <f t="shared" ca="1" si="146"/>
        <v>67.218119999999914</v>
      </c>
      <c r="U369" s="311">
        <f t="shared" ca="1" si="147"/>
        <v>0</v>
      </c>
      <c r="V369" s="306">
        <f t="shared" ca="1" si="148"/>
        <v>1.1649965800475637</v>
      </c>
      <c r="W369" s="304">
        <f t="shared" ca="1" si="149"/>
        <v>126.31726871218443</v>
      </c>
      <c r="Y369" s="314" t="str">
        <f t="shared" ca="1" si="167"/>
        <v/>
      </c>
      <c r="Z369" s="315" t="str">
        <f t="shared" ca="1" si="168"/>
        <v/>
      </c>
      <c r="AA369" s="316" t="str">
        <f t="shared" ca="1" si="169"/>
        <v/>
      </c>
      <c r="AC369" s="310" t="e">
        <f t="shared" ca="1" si="170"/>
        <v>#N/A</v>
      </c>
      <c r="AD369" s="323" t="e">
        <f t="shared" ca="1" si="171"/>
        <v>#N/A</v>
      </c>
      <c r="AE369" s="324">
        <f t="shared" ca="1" si="150"/>
        <v>502.12138756484978</v>
      </c>
      <c r="AG369" s="306">
        <f t="shared" ca="1" si="172"/>
        <v>-28.23372495642921</v>
      </c>
      <c r="AH369" s="304">
        <f t="shared" ca="1" si="173"/>
        <v>-18.489070141634393</v>
      </c>
    </row>
    <row r="370" spans="1:34" x14ac:dyDescent="0.2">
      <c r="A370" s="347">
        <f t="shared" ca="1" si="151"/>
        <v>0.01</v>
      </c>
      <c r="B370" s="304">
        <f t="shared" ca="1" si="152"/>
        <v>3.6599999999999659</v>
      </c>
      <c r="D370" s="306">
        <f t="shared" ca="1" si="153"/>
        <v>-2.1252594695622893</v>
      </c>
      <c r="E370" s="307">
        <f t="shared" ca="1" si="154"/>
        <v>-28.122181406329595</v>
      </c>
      <c r="F370" s="304">
        <f t="shared" ca="1" si="155"/>
        <v>28.202372504161314</v>
      </c>
      <c r="G370" s="306">
        <f t="shared" ca="1" si="156"/>
        <v>23.921686800274554</v>
      </c>
      <c r="H370" s="307">
        <f t="shared" ca="1" si="157"/>
        <v>206.02179947855592</v>
      </c>
      <c r="I370" s="304">
        <f t="shared" ca="1" si="158"/>
        <v>207.4059520837161</v>
      </c>
      <c r="J370" s="306">
        <f t="shared" ca="1" si="159"/>
        <v>54.518598717283247</v>
      </c>
      <c r="K370" s="307">
        <f t="shared" ca="1" si="160"/>
        <v>504.18301166870566</v>
      </c>
      <c r="L370" s="304">
        <f t="shared" ca="1" si="145"/>
        <v>507.12206307892217</v>
      </c>
      <c r="M370" s="306">
        <f t="shared" ca="1" si="161"/>
        <v>1.4552015527377538</v>
      </c>
      <c r="N370" s="304">
        <f t="shared" ca="1" si="162"/>
        <v>83.376907312757382</v>
      </c>
      <c r="P370" s="310">
        <f t="shared" ca="1" si="163"/>
        <v>23</v>
      </c>
      <c r="Q370" s="304">
        <f t="shared" ca="1" si="164"/>
        <v>0</v>
      </c>
      <c r="R370" s="306">
        <f t="shared" ca="1" si="165"/>
        <v>0</v>
      </c>
      <c r="S370" s="307">
        <f t="shared" ca="1" si="166"/>
        <v>6.8519999999999914</v>
      </c>
      <c r="T370" s="304">
        <f t="shared" ca="1" si="146"/>
        <v>67.218119999999914</v>
      </c>
      <c r="U370" s="311">
        <f t="shared" ca="1" si="147"/>
        <v>0</v>
      </c>
      <c r="V370" s="306">
        <f t="shared" ca="1" si="148"/>
        <v>1.1647562742253441</v>
      </c>
      <c r="W370" s="304">
        <f t="shared" ca="1" si="149"/>
        <v>125.94873460410304</v>
      </c>
      <c r="Y370" s="314" t="str">
        <f t="shared" ca="1" si="167"/>
        <v/>
      </c>
      <c r="Z370" s="315" t="str">
        <f t="shared" ca="1" si="168"/>
        <v/>
      </c>
      <c r="AA370" s="316" t="str">
        <f t="shared" ca="1" si="169"/>
        <v/>
      </c>
      <c r="AC370" s="310" t="e">
        <f t="shared" ca="1" si="170"/>
        <v>#N/A</v>
      </c>
      <c r="AD370" s="323" t="e">
        <f t="shared" ca="1" si="171"/>
        <v>#N/A</v>
      </c>
      <c r="AE370" s="324">
        <f t="shared" ca="1" si="150"/>
        <v>504.18301166870566</v>
      </c>
      <c r="AG370" s="306">
        <f t="shared" ca="1" si="172"/>
        <v>-28.179687950050933</v>
      </c>
      <c r="AH370" s="304">
        <f t="shared" ca="1" si="173"/>
        <v>-18.435094674866402</v>
      </c>
    </row>
    <row r="371" spans="1:34" x14ac:dyDescent="0.2">
      <c r="A371" s="347">
        <f t="shared" ca="1" si="151"/>
        <v>0.01</v>
      </c>
      <c r="B371" s="304">
        <f t="shared" ca="1" si="152"/>
        <v>3.6699999999999657</v>
      </c>
      <c r="D371" s="306">
        <f t="shared" ca="1" si="153"/>
        <v>-2.120054564919025</v>
      </c>
      <c r="E371" s="307">
        <f t="shared" ca="1" si="154"/>
        <v>-28.068639539262414</v>
      </c>
      <c r="F371" s="304">
        <f t="shared" ca="1" si="155"/>
        <v>28.148590674193251</v>
      </c>
      <c r="G371" s="306">
        <f t="shared" ca="1" si="156"/>
        <v>23.900486254625363</v>
      </c>
      <c r="H371" s="307">
        <f t="shared" ca="1" si="157"/>
        <v>205.7411130831633</v>
      </c>
      <c r="I371" s="304">
        <f t="shared" ca="1" si="158"/>
        <v>207.12469397902927</v>
      </c>
      <c r="J371" s="306">
        <f t="shared" ca="1" si="159"/>
        <v>54.757709582557744</v>
      </c>
      <c r="K371" s="307">
        <f t="shared" ca="1" si="160"/>
        <v>506.24182623151427</v>
      </c>
      <c r="L371" s="304">
        <f t="shared" ca="1" si="145"/>
        <v>509.19465176388724</v>
      </c>
      <c r="M371" s="306">
        <f t="shared" ca="1" si="161"/>
        <v>1.45514692569226</v>
      </c>
      <c r="N371" s="304">
        <f t="shared" ca="1" si="162"/>
        <v>83.373777413603321</v>
      </c>
      <c r="P371" s="310">
        <f t="shared" ca="1" si="163"/>
        <v>23</v>
      </c>
      <c r="Q371" s="304">
        <f t="shared" ca="1" si="164"/>
        <v>0</v>
      </c>
      <c r="R371" s="306">
        <f t="shared" ca="1" si="165"/>
        <v>0</v>
      </c>
      <c r="S371" s="307">
        <f t="shared" ca="1" si="166"/>
        <v>6.8519999999999914</v>
      </c>
      <c r="T371" s="304">
        <f t="shared" ca="1" si="146"/>
        <v>67.218119999999914</v>
      </c>
      <c r="U371" s="311">
        <f t="shared" ca="1" si="147"/>
        <v>0</v>
      </c>
      <c r="V371" s="306">
        <f t="shared" ca="1" si="148"/>
        <v>1.1645163441074495</v>
      </c>
      <c r="W371" s="304">
        <f t="shared" ca="1" si="149"/>
        <v>125.58150018498455</v>
      </c>
      <c r="Y371" s="314" t="str">
        <f t="shared" ca="1" si="167"/>
        <v/>
      </c>
      <c r="Z371" s="315" t="str">
        <f t="shared" ca="1" si="168"/>
        <v/>
      </c>
      <c r="AA371" s="316" t="str">
        <f t="shared" ca="1" si="169"/>
        <v/>
      </c>
      <c r="AC371" s="310" t="e">
        <f t="shared" ca="1" si="170"/>
        <v>#N/A</v>
      </c>
      <c r="AD371" s="323" t="e">
        <f t="shared" ca="1" si="171"/>
        <v>#N/A</v>
      </c>
      <c r="AE371" s="324">
        <f t="shared" ca="1" si="150"/>
        <v>506.24182623151427</v>
      </c>
      <c r="AG371" s="306">
        <f t="shared" ca="1" si="172"/>
        <v>-28.125841372868063</v>
      </c>
      <c r="AH371" s="304">
        <f t="shared" ca="1" si="173"/>
        <v>-18.38130977876579</v>
      </c>
    </row>
    <row r="372" spans="1:34" x14ac:dyDescent="0.2">
      <c r="A372" s="347">
        <f t="shared" ca="1" si="151"/>
        <v>0.01</v>
      </c>
      <c r="B372" s="304">
        <f t="shared" ca="1" si="152"/>
        <v>3.6799999999999655</v>
      </c>
      <c r="D372" s="306">
        <f t="shared" ca="1" si="153"/>
        <v>-2.1148675301536848</v>
      </c>
      <c r="E372" s="307">
        <f t="shared" ca="1" si="154"/>
        <v>-28.015286496757085</v>
      </c>
      <c r="F372" s="304">
        <f t="shared" ca="1" si="155"/>
        <v>28.094998525813775</v>
      </c>
      <c r="G372" s="306">
        <f t="shared" ca="1" si="156"/>
        <v>23.879337579323828</v>
      </c>
      <c r="H372" s="307">
        <f t="shared" ca="1" si="157"/>
        <v>205.46096021819574</v>
      </c>
      <c r="I372" s="304">
        <f t="shared" ca="1" si="158"/>
        <v>206.8439724454409</v>
      </c>
      <c r="J372" s="306">
        <f t="shared" ca="1" si="159"/>
        <v>54.996608701727489</v>
      </c>
      <c r="K372" s="307">
        <f t="shared" ca="1" si="160"/>
        <v>508.29783659802104</v>
      </c>
      <c r="L372" s="304">
        <f t="shared" ca="1" si="145"/>
        <v>511.26443026962028</v>
      </c>
      <c r="M372" s="306">
        <f t="shared" ca="1" si="161"/>
        <v>1.4550921987738012</v>
      </c>
      <c r="N372" s="304">
        <f t="shared" ca="1" si="162"/>
        <v>83.370641792149868</v>
      </c>
      <c r="P372" s="310">
        <f t="shared" ca="1" si="163"/>
        <v>23</v>
      </c>
      <c r="Q372" s="304">
        <f t="shared" ca="1" si="164"/>
        <v>0</v>
      </c>
      <c r="R372" s="306">
        <f t="shared" ca="1" si="165"/>
        <v>0</v>
      </c>
      <c r="S372" s="307">
        <f t="shared" ca="1" si="166"/>
        <v>6.8519999999999914</v>
      </c>
      <c r="T372" s="304">
        <f t="shared" ca="1" si="146"/>
        <v>67.218119999999914</v>
      </c>
      <c r="U372" s="311">
        <f t="shared" ca="1" si="147"/>
        <v>0</v>
      </c>
      <c r="V372" s="306">
        <f t="shared" ca="1" si="148"/>
        <v>1.1642767888594441</v>
      </c>
      <c r="W372" s="304">
        <f t="shared" ca="1" si="149"/>
        <v>125.21555938959909</v>
      </c>
      <c r="Y372" s="314" t="str">
        <f t="shared" ca="1" si="167"/>
        <v/>
      </c>
      <c r="Z372" s="315" t="str">
        <f t="shared" ca="1" si="168"/>
        <v/>
      </c>
      <c r="AA372" s="316" t="str">
        <f t="shared" ca="1" si="169"/>
        <v/>
      </c>
      <c r="AC372" s="310" t="e">
        <f t="shared" ca="1" si="170"/>
        <v>#N/A</v>
      </c>
      <c r="AD372" s="323" t="e">
        <f t="shared" ca="1" si="171"/>
        <v>#N/A</v>
      </c>
      <c r="AE372" s="324">
        <f t="shared" ca="1" si="150"/>
        <v>508.29783659802104</v>
      </c>
      <c r="AG372" s="306">
        <f t="shared" ca="1" si="172"/>
        <v>-28.072184334090082</v>
      </c>
      <c r="AH372" s="304">
        <f t="shared" ca="1" si="173"/>
        <v>-18.327714562899111</v>
      </c>
    </row>
    <row r="373" spans="1:34" x14ac:dyDescent="0.2">
      <c r="A373" s="347">
        <f t="shared" ca="1" si="151"/>
        <v>0.01</v>
      </c>
      <c r="B373" s="304">
        <f t="shared" ca="1" si="152"/>
        <v>3.6899999999999653</v>
      </c>
      <c r="D373" s="306">
        <f t="shared" ca="1" si="153"/>
        <v>-2.109698281242649</v>
      </c>
      <c r="E373" s="307">
        <f t="shared" ca="1" si="154"/>
        <v>-27.962121397626532</v>
      </c>
      <c r="F373" s="304">
        <f t="shared" ca="1" si="155"/>
        <v>28.041595173839195</v>
      </c>
      <c r="G373" s="306">
        <f t="shared" ca="1" si="156"/>
        <v>23.858240596511401</v>
      </c>
      <c r="H373" s="307">
        <f t="shared" ca="1" si="157"/>
        <v>205.18133900421947</v>
      </c>
      <c r="I373" s="304">
        <f t="shared" ca="1" si="158"/>
        <v>206.56378559642408</v>
      </c>
      <c r="J373" s="306">
        <f t="shared" ca="1" si="159"/>
        <v>55.235296592606666</v>
      </c>
      <c r="K373" s="307">
        <f t="shared" ca="1" si="160"/>
        <v>510.35104809413309</v>
      </c>
      <c r="L373" s="304">
        <f t="shared" ca="1" si="145"/>
        <v>513.33140394919667</v>
      </c>
      <c r="M373" s="306">
        <f t="shared" ca="1" si="161"/>
        <v>1.4550373718058889</v>
      </c>
      <c r="N373" s="304">
        <f t="shared" ca="1" si="162"/>
        <v>83.367500438284992</v>
      </c>
      <c r="P373" s="310">
        <f t="shared" ca="1" si="163"/>
        <v>23</v>
      </c>
      <c r="Q373" s="304">
        <f t="shared" ca="1" si="164"/>
        <v>0</v>
      </c>
      <c r="R373" s="306">
        <f t="shared" ca="1" si="165"/>
        <v>0</v>
      </c>
      <c r="S373" s="307">
        <f t="shared" ca="1" si="166"/>
        <v>6.8519999999999914</v>
      </c>
      <c r="T373" s="304">
        <f t="shared" ca="1" si="146"/>
        <v>67.218119999999914</v>
      </c>
      <c r="U373" s="311">
        <f t="shared" ca="1" si="147"/>
        <v>0</v>
      </c>
      <c r="V373" s="306">
        <f t="shared" ca="1" si="148"/>
        <v>1.1640376076499768</v>
      </c>
      <c r="W373" s="304">
        <f t="shared" ca="1" si="149"/>
        <v>124.85090618848071</v>
      </c>
      <c r="Y373" s="314" t="str">
        <f t="shared" ca="1" si="167"/>
        <v/>
      </c>
      <c r="Z373" s="315" t="str">
        <f t="shared" ca="1" si="168"/>
        <v/>
      </c>
      <c r="AA373" s="316" t="str">
        <f t="shared" ca="1" si="169"/>
        <v/>
      </c>
      <c r="AC373" s="310" t="e">
        <f t="shared" ca="1" si="170"/>
        <v>#N/A</v>
      </c>
      <c r="AD373" s="323" t="e">
        <f t="shared" ca="1" si="171"/>
        <v>#N/A</v>
      </c>
      <c r="AE373" s="324">
        <f t="shared" ca="1" si="150"/>
        <v>510.35104809413309</v>
      </c>
      <c r="AG373" s="306">
        <f t="shared" ca="1" si="172"/>
        <v>-28.018715948182113</v>
      </c>
      <c r="AH373" s="304">
        <f t="shared" ca="1" si="173"/>
        <v>-18.27430814208979</v>
      </c>
    </row>
    <row r="374" spans="1:34" x14ac:dyDescent="0.2">
      <c r="A374" s="347">
        <f t="shared" ca="1" si="151"/>
        <v>0.01</v>
      </c>
      <c r="B374" s="304">
        <f t="shared" ca="1" si="152"/>
        <v>3.6999999999999651</v>
      </c>
      <c r="D374" s="306">
        <f t="shared" ca="1" si="153"/>
        <v>-2.1045467346571409</v>
      </c>
      <c r="E374" s="307">
        <f t="shared" ca="1" si="154"/>
        <v>-27.909143365879665</v>
      </c>
      <c r="F374" s="304">
        <f t="shared" ca="1" si="155"/>
        <v>27.988379738305341</v>
      </c>
      <c r="G374" s="306">
        <f t="shared" ca="1" si="156"/>
        <v>23.837195129164829</v>
      </c>
      <c r="H374" s="307">
        <f t="shared" ca="1" si="157"/>
        <v>204.90224757056066</v>
      </c>
      <c r="I374" s="304">
        <f t="shared" ca="1" si="158"/>
        <v>206.28413155425505</v>
      </c>
      <c r="J374" s="306">
        <f t="shared" ca="1" si="159"/>
        <v>55.473773771235045</v>
      </c>
      <c r="K374" s="307">
        <f t="shared" ca="1" si="160"/>
        <v>512.40146602700702</v>
      </c>
      <c r="L374" s="304">
        <f t="shared" ca="1" si="145"/>
        <v>515.39557813687941</v>
      </c>
      <c r="M374" s="306">
        <f t="shared" ca="1" si="161"/>
        <v>1.4549824446115101</v>
      </c>
      <c r="N374" s="304">
        <f t="shared" ca="1" si="162"/>
        <v>83.36435334186659</v>
      </c>
      <c r="P374" s="310">
        <f t="shared" ca="1" si="163"/>
        <v>23</v>
      </c>
      <c r="Q374" s="304">
        <f t="shared" ca="1" si="164"/>
        <v>0</v>
      </c>
      <c r="R374" s="306">
        <f t="shared" ca="1" si="165"/>
        <v>0</v>
      </c>
      <c r="S374" s="307">
        <f t="shared" ca="1" si="166"/>
        <v>6.8519999999999914</v>
      </c>
      <c r="T374" s="304">
        <f t="shared" ca="1" si="146"/>
        <v>67.218119999999914</v>
      </c>
      <c r="U374" s="311">
        <f t="shared" ca="1" si="147"/>
        <v>0</v>
      </c>
      <c r="V374" s="306">
        <f t="shared" ca="1" si="148"/>
        <v>1.1637987996507697</v>
      </c>
      <c r="W374" s="304">
        <f t="shared" ca="1" si="149"/>
        <v>124.48753458767379</v>
      </c>
      <c r="Y374" s="314" t="str">
        <f t="shared" ca="1" si="167"/>
        <v/>
      </c>
      <c r="Z374" s="315" t="str">
        <f t="shared" ca="1" si="168"/>
        <v/>
      </c>
      <c r="AA374" s="316" t="str">
        <f t="shared" ca="1" si="169"/>
        <v/>
      </c>
      <c r="AC374" s="310" t="e">
        <f t="shared" ca="1" si="170"/>
        <v>#N/A</v>
      </c>
      <c r="AD374" s="323" t="e">
        <f t="shared" ca="1" si="171"/>
        <v>#N/A</v>
      </c>
      <c r="AE374" s="324">
        <f t="shared" ca="1" si="150"/>
        <v>512.40146602700702</v>
      </c>
      <c r="AG374" s="306">
        <f t="shared" ca="1" si="172"/>
        <v>-27.965435334827504</v>
      </c>
      <c r="AH374" s="304">
        <f t="shared" ca="1" si="173"/>
        <v>-18.221089636380746</v>
      </c>
    </row>
    <row r="375" spans="1:34" x14ac:dyDescent="0.2">
      <c r="A375" s="347">
        <f t="shared" ca="1" si="151"/>
        <v>0.01</v>
      </c>
      <c r="B375" s="304">
        <f t="shared" ca="1" si="152"/>
        <v>3.7099999999999649</v>
      </c>
      <c r="D375" s="306">
        <f t="shared" ca="1" si="153"/>
        <v>-2.0994128073597267</v>
      </c>
      <c r="E375" s="307">
        <f t="shared" ca="1" si="154"/>
        <v>-27.856351530684485</v>
      </c>
      <c r="F375" s="304">
        <f t="shared" ca="1" si="155"/>
        <v>27.935351344430483</v>
      </c>
      <c r="G375" s="306">
        <f t="shared" ca="1" si="156"/>
        <v>23.816201001091233</v>
      </c>
      <c r="H375" s="307">
        <f t="shared" ca="1" si="157"/>
        <v>204.62368405525382</v>
      </c>
      <c r="I375" s="304">
        <f t="shared" ca="1" si="158"/>
        <v>206.00500844996151</v>
      </c>
      <c r="J375" s="306">
        <f t="shared" ca="1" si="159"/>
        <v>55.712040751886327</v>
      </c>
      <c r="K375" s="307">
        <f t="shared" ca="1" si="160"/>
        <v>514.44909568513606</v>
      </c>
      <c r="L375" s="304">
        <f t="shared" ca="1" si="145"/>
        <v>517.4569581482059</v>
      </c>
      <c r="M375" s="306">
        <f t="shared" ca="1" si="161"/>
        <v>1.4549274170131277</v>
      </c>
      <c r="N375" s="304">
        <f t="shared" ca="1" si="162"/>
        <v>83.361200492722546</v>
      </c>
      <c r="P375" s="310">
        <f t="shared" ca="1" si="163"/>
        <v>23</v>
      </c>
      <c r="Q375" s="304">
        <f t="shared" ca="1" si="164"/>
        <v>0</v>
      </c>
      <c r="R375" s="306">
        <f t="shared" ca="1" si="165"/>
        <v>0</v>
      </c>
      <c r="S375" s="307">
        <f t="shared" ca="1" si="166"/>
        <v>6.8519999999999914</v>
      </c>
      <c r="T375" s="304">
        <f t="shared" ca="1" si="146"/>
        <v>67.218119999999914</v>
      </c>
      <c r="U375" s="311">
        <f t="shared" ca="1" si="147"/>
        <v>0</v>
      </c>
      <c r="V375" s="306">
        <f t="shared" ca="1" si="148"/>
        <v>1.1635603640366006</v>
      </c>
      <c r="W375" s="304">
        <f t="shared" ca="1" si="149"/>
        <v>124.12543862848152</v>
      </c>
      <c r="Y375" s="314" t="str">
        <f t="shared" ca="1" si="167"/>
        <v/>
      </c>
      <c r="Z375" s="315" t="str">
        <f t="shared" ca="1" si="168"/>
        <v/>
      </c>
      <c r="AA375" s="316" t="str">
        <f t="shared" ca="1" si="169"/>
        <v/>
      </c>
      <c r="AC375" s="310" t="e">
        <f t="shared" ca="1" si="170"/>
        <v>#N/A</v>
      </c>
      <c r="AD375" s="323" t="e">
        <f t="shared" ca="1" si="171"/>
        <v>#N/A</v>
      </c>
      <c r="AE375" s="324">
        <f t="shared" ca="1" si="150"/>
        <v>514.44909568513606</v>
      </c>
      <c r="AG375" s="306">
        <f t="shared" ca="1" si="172"/>
        <v>-27.912341618890803</v>
      </c>
      <c r="AH375" s="304">
        <f t="shared" ca="1" si="173"/>
        <v>-18.168058170997366</v>
      </c>
    </row>
    <row r="376" spans="1:34" x14ac:dyDescent="0.2">
      <c r="A376" s="347">
        <f t="shared" ca="1" si="151"/>
        <v>0.01</v>
      </c>
      <c r="B376" s="304">
        <f t="shared" ca="1" si="152"/>
        <v>3.7199999999999647</v>
      </c>
      <c r="D376" s="306">
        <f t="shared" ca="1" si="153"/>
        <v>-2.0942964168008058</v>
      </c>
      <c r="E376" s="307">
        <f t="shared" ca="1" si="154"/>
        <v>-27.803745026331576</v>
      </c>
      <c r="F376" s="304">
        <f t="shared" ca="1" si="155"/>
        <v>27.882509122578664</v>
      </c>
      <c r="G376" s="306">
        <f t="shared" ca="1" si="156"/>
        <v>23.795258036923226</v>
      </c>
      <c r="H376" s="307">
        <f t="shared" ca="1" si="157"/>
        <v>204.34564660499049</v>
      </c>
      <c r="I376" s="304">
        <f t="shared" ca="1" si="158"/>
        <v>205.72641442327094</v>
      </c>
      <c r="J376" s="306">
        <f t="shared" ca="1" si="159"/>
        <v>55.950098047076402</v>
      </c>
      <c r="K376" s="307">
        <f t="shared" ca="1" si="160"/>
        <v>516.49394233843725</v>
      </c>
      <c r="L376" s="304">
        <f t="shared" ca="1" si="145"/>
        <v>519.51554928007533</v>
      </c>
      <c r="M376" s="306">
        <f t="shared" ca="1" si="161"/>
        <v>1.4548722888326771</v>
      </c>
      <c r="N376" s="304">
        <f t="shared" ca="1" si="162"/>
        <v>83.358041880650489</v>
      </c>
      <c r="P376" s="310">
        <f t="shared" ca="1" si="163"/>
        <v>23</v>
      </c>
      <c r="Q376" s="304">
        <f t="shared" ca="1" si="164"/>
        <v>0</v>
      </c>
      <c r="R376" s="306">
        <f t="shared" ca="1" si="165"/>
        <v>0</v>
      </c>
      <c r="S376" s="307">
        <f t="shared" ca="1" si="166"/>
        <v>6.8519999999999914</v>
      </c>
      <c r="T376" s="304">
        <f t="shared" ca="1" si="146"/>
        <v>67.218119999999914</v>
      </c>
      <c r="U376" s="311">
        <f t="shared" ca="1" si="147"/>
        <v>0</v>
      </c>
      <c r="V376" s="306">
        <f t="shared" ca="1" si="148"/>
        <v>1.1633222999852895</v>
      </c>
      <c r="W376" s="304">
        <f t="shared" ca="1" si="149"/>
        <v>123.76461238721606</v>
      </c>
      <c r="Y376" s="314" t="str">
        <f t="shared" ca="1" si="167"/>
        <v/>
      </c>
      <c r="Z376" s="315" t="str">
        <f t="shared" ca="1" si="168"/>
        <v/>
      </c>
      <c r="AA376" s="316" t="str">
        <f t="shared" ca="1" si="169"/>
        <v/>
      </c>
      <c r="AC376" s="310" t="e">
        <f t="shared" ca="1" si="170"/>
        <v>#N/A</v>
      </c>
      <c r="AD376" s="323" t="e">
        <f t="shared" ca="1" si="171"/>
        <v>#N/A</v>
      </c>
      <c r="AE376" s="324">
        <f t="shared" ca="1" si="150"/>
        <v>516.49394233843725</v>
      </c>
      <c r="AG376" s="306">
        <f t="shared" ca="1" si="172"/>
        <v>-27.859433930381087</v>
      </c>
      <c r="AH376" s="304">
        <f t="shared" ca="1" si="173"/>
        <v>-18.11521287631081</v>
      </c>
    </row>
    <row r="377" spans="1:34" x14ac:dyDescent="0.2">
      <c r="A377" s="347">
        <f t="shared" ca="1" si="151"/>
        <v>0.01</v>
      </c>
      <c r="B377" s="304">
        <f t="shared" ca="1" si="152"/>
        <v>3.7299999999999645</v>
      </c>
      <c r="D377" s="306">
        <f t="shared" ca="1" si="153"/>
        <v>-2.0891974809151828</v>
      </c>
      <c r="E377" s="307">
        <f t="shared" ca="1" si="154"/>
        <v>-27.751322992197807</v>
      </c>
      <c r="F377" s="304">
        <f t="shared" ca="1" si="155"/>
        <v>27.829852208223258</v>
      </c>
      <c r="G377" s="306">
        <f t="shared" ca="1" si="156"/>
        <v>23.774366062114073</v>
      </c>
      <c r="H377" s="307">
        <f t="shared" ca="1" si="157"/>
        <v>204.06813337506853</v>
      </c>
      <c r="I377" s="304">
        <f t="shared" ca="1" si="158"/>
        <v>205.44834762255977</v>
      </c>
      <c r="J377" s="306">
        <f t="shared" ca="1" si="159"/>
        <v>56.187946167571589</v>
      </c>
      <c r="K377" s="307">
        <f t="shared" ca="1" si="160"/>
        <v>518.53601123833755</v>
      </c>
      <c r="L377" s="304">
        <f t="shared" ca="1" si="145"/>
        <v>521.57135681083491</v>
      </c>
      <c r="M377" s="306">
        <f t="shared" ca="1" si="161"/>
        <v>1.4548170598915653</v>
      </c>
      <c r="N377" s="304">
        <f t="shared" ca="1" si="162"/>
        <v>83.35487749541781</v>
      </c>
      <c r="P377" s="310">
        <f t="shared" ca="1" si="163"/>
        <v>23</v>
      </c>
      <c r="Q377" s="304">
        <f t="shared" ca="1" si="164"/>
        <v>0</v>
      </c>
      <c r="R377" s="306">
        <f t="shared" ca="1" si="165"/>
        <v>0</v>
      </c>
      <c r="S377" s="307">
        <f t="shared" ca="1" si="166"/>
        <v>6.8519999999999914</v>
      </c>
      <c r="T377" s="304">
        <f t="shared" ca="1" si="146"/>
        <v>67.218119999999914</v>
      </c>
      <c r="U377" s="311">
        <f t="shared" ca="1" si="147"/>
        <v>0</v>
      </c>
      <c r="V377" s="306">
        <f t="shared" ca="1" si="148"/>
        <v>1.1630846066776839</v>
      </c>
      <c r="W377" s="304">
        <f t="shared" ca="1" si="149"/>
        <v>123.40504997495131</v>
      </c>
      <c r="Y377" s="314" t="str">
        <f t="shared" ca="1" si="167"/>
        <v/>
      </c>
      <c r="Z377" s="315" t="str">
        <f t="shared" ca="1" si="168"/>
        <v/>
      </c>
      <c r="AA377" s="316" t="str">
        <f t="shared" ca="1" si="169"/>
        <v/>
      </c>
      <c r="AC377" s="310" t="e">
        <f t="shared" ca="1" si="170"/>
        <v>#N/A</v>
      </c>
      <c r="AD377" s="323" t="e">
        <f t="shared" ca="1" si="171"/>
        <v>#N/A</v>
      </c>
      <c r="AE377" s="324">
        <f t="shared" ca="1" si="150"/>
        <v>518.53601123833755</v>
      </c>
      <c r="AG377" s="306">
        <f t="shared" ca="1" si="172"/>
        <v>-27.806711404415449</v>
      </c>
      <c r="AH377" s="304">
        <f t="shared" ca="1" si="173"/>
        <v>-18.062552887801548</v>
      </c>
    </row>
    <row r="378" spans="1:34" x14ac:dyDescent="0.2">
      <c r="A378" s="347">
        <f t="shared" ca="1" si="151"/>
        <v>0.01</v>
      </c>
      <c r="B378" s="304">
        <f t="shared" ca="1" si="152"/>
        <v>3.7399999999999642</v>
      </c>
      <c r="D378" s="306">
        <f t="shared" ca="1" si="153"/>
        <v>-2.0841159181186253</v>
      </c>
      <c r="E378" s="307">
        <f t="shared" ca="1" si="154"/>
        <v>-27.699084572710397</v>
      </c>
      <c r="F378" s="304">
        <f t="shared" ca="1" si="155"/>
        <v>27.777379741910835</v>
      </c>
      <c r="G378" s="306">
        <f t="shared" ca="1" si="156"/>
        <v>23.753524902932888</v>
      </c>
      <c r="H378" s="307">
        <f t="shared" ca="1" si="157"/>
        <v>203.79114252934141</v>
      </c>
      <c r="I378" s="304">
        <f t="shared" ca="1" si="158"/>
        <v>205.17080620480246</v>
      </c>
      <c r="J378" s="306">
        <f t="shared" ca="1" si="159"/>
        <v>56.425585622396824</v>
      </c>
      <c r="K378" s="307">
        <f t="shared" ca="1" si="160"/>
        <v>520.57530761785961</v>
      </c>
      <c r="L378" s="304">
        <f t="shared" ca="1" si="145"/>
        <v>523.62438600036535</v>
      </c>
      <c r="M378" s="306">
        <f t="shared" ca="1" si="161"/>
        <v>1.4547617300106694</v>
      </c>
      <c r="N378" s="304">
        <f t="shared" ca="1" si="162"/>
        <v>83.351707326761513</v>
      </c>
      <c r="P378" s="310">
        <f t="shared" ca="1" si="163"/>
        <v>23</v>
      </c>
      <c r="Q378" s="304">
        <f t="shared" ca="1" si="164"/>
        <v>0</v>
      </c>
      <c r="R378" s="306">
        <f t="shared" ca="1" si="165"/>
        <v>0</v>
      </c>
      <c r="S378" s="307">
        <f t="shared" ca="1" si="166"/>
        <v>6.8519999999999914</v>
      </c>
      <c r="T378" s="304">
        <f t="shared" ca="1" si="146"/>
        <v>67.218119999999914</v>
      </c>
      <c r="U378" s="311">
        <f t="shared" ca="1" si="147"/>
        <v>0</v>
      </c>
      <c r="V378" s="306">
        <f t="shared" ca="1" si="148"/>
        <v>1.1628472832976431</v>
      </c>
      <c r="W378" s="304">
        <f t="shared" ca="1" si="149"/>
        <v>123.04674553727733</v>
      </c>
      <c r="Y378" s="314" t="str">
        <f t="shared" ca="1" si="167"/>
        <v/>
      </c>
      <c r="Z378" s="315" t="str">
        <f t="shared" ca="1" si="168"/>
        <v/>
      </c>
      <c r="AA378" s="316" t="str">
        <f t="shared" ca="1" si="169"/>
        <v/>
      </c>
      <c r="AC378" s="310" t="e">
        <f t="shared" ca="1" si="170"/>
        <v>#N/A</v>
      </c>
      <c r="AD378" s="323" t="e">
        <f t="shared" ca="1" si="171"/>
        <v>#N/A</v>
      </c>
      <c r="AE378" s="324">
        <f t="shared" ca="1" si="150"/>
        <v>520.57530761785961</v>
      </c>
      <c r="AG378" s="306">
        <f t="shared" ca="1" si="172"/>
        <v>-27.754173181182949</v>
      </c>
      <c r="AH378" s="304">
        <f t="shared" ca="1" si="173"/>
        <v>-18.010077346023273</v>
      </c>
    </row>
    <row r="379" spans="1:34" x14ac:dyDescent="0.2">
      <c r="A379" s="347">
        <f t="shared" ca="1" si="151"/>
        <v>0.01</v>
      </c>
      <c r="B379" s="304">
        <f t="shared" ca="1" si="152"/>
        <v>3.749999999999964</v>
      </c>
      <c r="D379" s="306">
        <f t="shared" ca="1" si="153"/>
        <v>-2.0790516473044693</v>
      </c>
      <c r="E379" s="307">
        <f t="shared" ca="1" si="154"/>
        <v>-27.647028917311246</v>
      </c>
      <c r="F379" s="304">
        <f t="shared" ca="1" si="155"/>
        <v>27.725090869225365</v>
      </c>
      <c r="G379" s="306">
        <f t="shared" ca="1" si="156"/>
        <v>23.732734386459843</v>
      </c>
      <c r="H379" s="307">
        <f t="shared" ca="1" si="157"/>
        <v>203.5146722401683</v>
      </c>
      <c r="I379" s="304">
        <f t="shared" ca="1" si="158"/>
        <v>204.89378833552124</v>
      </c>
      <c r="J379" s="306">
        <f t="shared" ca="1" si="159"/>
        <v>56.663016918843788</v>
      </c>
      <c r="K379" s="307">
        <f t="shared" ca="1" si="160"/>
        <v>522.61183669170714</v>
      </c>
      <c r="L379" s="304">
        <f t="shared" ca="1" si="145"/>
        <v>525.67464209016657</v>
      </c>
      <c r="M379" s="306">
        <f t="shared" ca="1" si="161"/>
        <v>1.4547062990103345</v>
      </c>
      <c r="N379" s="304">
        <f t="shared" ca="1" si="162"/>
        <v>83.348531364388137</v>
      </c>
      <c r="P379" s="310">
        <f t="shared" ca="1" si="163"/>
        <v>23</v>
      </c>
      <c r="Q379" s="304">
        <f t="shared" ca="1" si="164"/>
        <v>0</v>
      </c>
      <c r="R379" s="306">
        <f t="shared" ca="1" si="165"/>
        <v>0</v>
      </c>
      <c r="S379" s="307">
        <f t="shared" ca="1" si="166"/>
        <v>6.8519999999999914</v>
      </c>
      <c r="T379" s="304">
        <f t="shared" ca="1" si="146"/>
        <v>67.218119999999914</v>
      </c>
      <c r="U379" s="311">
        <f t="shared" ca="1" si="147"/>
        <v>0</v>
      </c>
      <c r="V379" s="306">
        <f t="shared" ca="1" si="148"/>
        <v>1.1626103290320242</v>
      </c>
      <c r="W379" s="304">
        <f t="shared" ca="1" si="149"/>
        <v>122.68969325405666</v>
      </c>
      <c r="Y379" s="314" t="str">
        <f t="shared" ca="1" si="167"/>
        <v/>
      </c>
      <c r="Z379" s="315" t="str">
        <f t="shared" ca="1" si="168"/>
        <v/>
      </c>
      <c r="AA379" s="316" t="str">
        <f t="shared" ca="1" si="169"/>
        <v/>
      </c>
      <c r="AC379" s="310" t="e">
        <f t="shared" ca="1" si="170"/>
        <v>#N/A</v>
      </c>
      <c r="AD379" s="323" t="e">
        <f t="shared" ca="1" si="171"/>
        <v>#N/A</v>
      </c>
      <c r="AE379" s="324">
        <f t="shared" ca="1" si="150"/>
        <v>522.61183669170714</v>
      </c>
      <c r="AG379" s="306">
        <f t="shared" ca="1" si="172"/>
        <v>-27.701818405908732</v>
      </c>
      <c r="AH379" s="304">
        <f t="shared" ca="1" si="173"/>
        <v>-17.957785396567058</v>
      </c>
    </row>
    <row r="380" spans="1:34" x14ac:dyDescent="0.2">
      <c r="A380" s="347">
        <f t="shared" ca="1" si="151"/>
        <v>0.01</v>
      </c>
      <c r="B380" s="304">
        <f t="shared" ca="1" si="152"/>
        <v>3.7599999999999638</v>
      </c>
      <c r="D380" s="306">
        <f t="shared" ca="1" si="153"/>
        <v>-2.0740045878402511</v>
      </c>
      <c r="E380" s="307">
        <f t="shared" ca="1" si="154"/>
        <v>-27.595155180421521</v>
      </c>
      <c r="F380" s="304">
        <f t="shared" ca="1" si="155"/>
        <v>27.672984740752614</v>
      </c>
      <c r="G380" s="306">
        <f t="shared" ca="1" si="156"/>
        <v>23.711994340581441</v>
      </c>
      <c r="H380" s="307">
        <f t="shared" ca="1" si="157"/>
        <v>203.23872068836408</v>
      </c>
      <c r="I380" s="304">
        <f t="shared" ca="1" si="158"/>
        <v>204.61729218873617</v>
      </c>
      <c r="J380" s="306">
        <f t="shared" ca="1" si="159"/>
        <v>56.900240562478992</v>
      </c>
      <c r="K380" s="307">
        <f t="shared" ca="1" si="160"/>
        <v>524.64560365634975</v>
      </c>
      <c r="L380" s="304">
        <f t="shared" ca="1" si="145"/>
        <v>527.72213030344255</v>
      </c>
      <c r="M380" s="306">
        <f t="shared" ca="1" si="161"/>
        <v>1.4546507667103716</v>
      </c>
      <c r="N380" s="304">
        <f t="shared" ca="1" si="162"/>
        <v>83.345349597973609</v>
      </c>
      <c r="P380" s="310">
        <f t="shared" ca="1" si="163"/>
        <v>23</v>
      </c>
      <c r="Q380" s="304">
        <f t="shared" ca="1" si="164"/>
        <v>0</v>
      </c>
      <c r="R380" s="306">
        <f t="shared" ca="1" si="165"/>
        <v>0</v>
      </c>
      <c r="S380" s="307">
        <f t="shared" ca="1" si="166"/>
        <v>6.8519999999999914</v>
      </c>
      <c r="T380" s="304">
        <f t="shared" ca="1" si="146"/>
        <v>67.218119999999914</v>
      </c>
      <c r="U380" s="311">
        <f t="shared" ca="1" si="147"/>
        <v>0</v>
      </c>
      <c r="V380" s="306">
        <f t="shared" ca="1" si="148"/>
        <v>1.1623737430706684</v>
      </c>
      <c r="W380" s="304">
        <f t="shared" ca="1" si="149"/>
        <v>122.33388733918358</v>
      </c>
      <c r="Y380" s="314" t="str">
        <f t="shared" ca="1" si="167"/>
        <v/>
      </c>
      <c r="Z380" s="315" t="str">
        <f t="shared" ca="1" si="168"/>
        <v/>
      </c>
      <c r="AA380" s="316" t="str">
        <f t="shared" ca="1" si="169"/>
        <v/>
      </c>
      <c r="AC380" s="310" t="e">
        <f t="shared" ca="1" si="170"/>
        <v>#N/A</v>
      </c>
      <c r="AD380" s="323" t="e">
        <f t="shared" ca="1" si="171"/>
        <v>#N/A</v>
      </c>
      <c r="AE380" s="324">
        <f t="shared" ca="1" si="150"/>
        <v>524.64560365634975</v>
      </c>
      <c r="AG380" s="306">
        <f t="shared" ca="1" si="172"/>
        <v>-27.649646228818497</v>
      </c>
      <c r="AH380" s="304">
        <f t="shared" ca="1" si="173"/>
        <v>-17.905676190025805</v>
      </c>
    </row>
    <row r="381" spans="1:34" x14ac:dyDescent="0.2">
      <c r="A381" s="347">
        <f t="shared" ca="1" si="151"/>
        <v>0.01</v>
      </c>
      <c r="B381" s="304">
        <f t="shared" ca="1" si="152"/>
        <v>3.7699999999999636</v>
      </c>
      <c r="D381" s="306">
        <f t="shared" ca="1" si="153"/>
        <v>-2.0689746595643812</v>
      </c>
      <c r="E381" s="307">
        <f t="shared" ca="1" si="154"/>
        <v>-27.543462521406703</v>
      </c>
      <c r="F381" s="304">
        <f t="shared" ca="1" si="155"/>
        <v>27.621060512045066</v>
      </c>
      <c r="G381" s="306">
        <f t="shared" ca="1" si="156"/>
        <v>23.691304593985798</v>
      </c>
      <c r="H381" s="307">
        <f t="shared" ca="1" si="157"/>
        <v>202.96328606315001</v>
      </c>
      <c r="I381" s="304">
        <f t="shared" ca="1" si="158"/>
        <v>204.34131594691533</v>
      </c>
      <c r="J381" s="306">
        <f t="shared" ca="1" si="159"/>
        <v>57.137257057151828</v>
      </c>
      <c r="K381" s="307">
        <f t="shared" ca="1" si="160"/>
        <v>526.67661369010727</v>
      </c>
      <c r="L381" s="304">
        <f t="shared" ca="1" si="145"/>
        <v>529.76685584518543</v>
      </c>
      <c r="M381" s="306">
        <f t="shared" ca="1" si="161"/>
        <v>1.4545951329300568</v>
      </c>
      <c r="N381" s="304">
        <f t="shared" ca="1" si="162"/>
        <v>83.342162017163204</v>
      </c>
      <c r="P381" s="310">
        <f t="shared" ca="1" si="163"/>
        <v>23</v>
      </c>
      <c r="Q381" s="304">
        <f t="shared" ca="1" si="164"/>
        <v>0</v>
      </c>
      <c r="R381" s="306">
        <f t="shared" ca="1" si="165"/>
        <v>0</v>
      </c>
      <c r="S381" s="307">
        <f t="shared" ca="1" si="166"/>
        <v>6.8519999999999914</v>
      </c>
      <c r="T381" s="304">
        <f t="shared" ca="1" si="146"/>
        <v>67.218119999999914</v>
      </c>
      <c r="U381" s="311">
        <f t="shared" ca="1" si="147"/>
        <v>0</v>
      </c>
      <c r="V381" s="306">
        <f t="shared" ca="1" si="148"/>
        <v>1.1621375246063863</v>
      </c>
      <c r="W381" s="304">
        <f t="shared" ca="1" si="149"/>
        <v>121.979322040344</v>
      </c>
      <c r="Y381" s="314" t="str">
        <f t="shared" ca="1" si="167"/>
        <v/>
      </c>
      <c r="Z381" s="315" t="str">
        <f t="shared" ca="1" si="168"/>
        <v/>
      </c>
      <c r="AA381" s="316" t="str">
        <f t="shared" ca="1" si="169"/>
        <v/>
      </c>
      <c r="AC381" s="310" t="e">
        <f t="shared" ca="1" si="170"/>
        <v>#N/A</v>
      </c>
      <c r="AD381" s="323" t="e">
        <f t="shared" ca="1" si="171"/>
        <v>#N/A</v>
      </c>
      <c r="AE381" s="324">
        <f t="shared" ca="1" si="150"/>
        <v>526.67661369010727</v>
      </c>
      <c r="AG381" s="306">
        <f t="shared" ca="1" si="172"/>
        <v>-27.597655805103322</v>
      </c>
      <c r="AH381" s="304">
        <f t="shared" ca="1" si="173"/>
        <v>-17.853748881959095</v>
      </c>
    </row>
    <row r="382" spans="1:34" x14ac:dyDescent="0.2">
      <c r="A382" s="347">
        <f t="shared" ca="1" si="151"/>
        <v>0.01</v>
      </c>
      <c r="B382" s="304">
        <f t="shared" ca="1" si="152"/>
        <v>3.7799999999999634</v>
      </c>
      <c r="D382" s="306">
        <f t="shared" ca="1" si="153"/>
        <v>-2.0639617827828074</v>
      </c>
      <c r="E382" s="307">
        <f t="shared" ca="1" si="154"/>
        <v>-27.491950104541665</v>
      </c>
      <c r="F382" s="304">
        <f t="shared" ca="1" si="155"/>
        <v>27.569317343586807</v>
      </c>
      <c r="G382" s="306">
        <f t="shared" ca="1" si="156"/>
        <v>23.670664976157969</v>
      </c>
      <c r="H382" s="307">
        <f t="shared" ca="1" si="157"/>
        <v>202.68836656210459</v>
      </c>
      <c r="I382" s="304">
        <f t="shared" ca="1" si="158"/>
        <v>204.06585780092561</v>
      </c>
      <c r="J382" s="306">
        <f t="shared" ca="1" si="159"/>
        <v>57.37406690500255</v>
      </c>
      <c r="K382" s="307">
        <f t="shared" ca="1" si="160"/>
        <v>528.70487195323358</v>
      </c>
      <c r="L382" s="304">
        <f t="shared" ca="1" si="145"/>
        <v>531.80882390225986</v>
      </c>
      <c r="M382" s="306">
        <f t="shared" ca="1" si="161"/>
        <v>1.4545393974881298</v>
      </c>
      <c r="N382" s="304">
        <f t="shared" ca="1" si="162"/>
        <v>83.338968611571488</v>
      </c>
      <c r="P382" s="310">
        <f t="shared" ca="1" si="163"/>
        <v>23</v>
      </c>
      <c r="Q382" s="304">
        <f t="shared" ca="1" si="164"/>
        <v>0</v>
      </c>
      <c r="R382" s="306">
        <f t="shared" ca="1" si="165"/>
        <v>0</v>
      </c>
      <c r="S382" s="307">
        <f t="shared" ca="1" si="166"/>
        <v>6.8519999999999914</v>
      </c>
      <c r="T382" s="304">
        <f t="shared" ca="1" si="146"/>
        <v>67.218119999999914</v>
      </c>
      <c r="U382" s="311">
        <f t="shared" ca="1" si="147"/>
        <v>0</v>
      </c>
      <c r="V382" s="306">
        <f t="shared" ca="1" si="148"/>
        <v>1.1619016728349423</v>
      </c>
      <c r="W382" s="304">
        <f t="shared" ca="1" si="149"/>
        <v>121.62599163877833</v>
      </c>
      <c r="Y382" s="314" t="str">
        <f t="shared" ca="1" si="167"/>
        <v/>
      </c>
      <c r="Z382" s="315" t="str">
        <f t="shared" ca="1" si="168"/>
        <v/>
      </c>
      <c r="AA382" s="316" t="str">
        <f t="shared" ca="1" si="169"/>
        <v/>
      </c>
      <c r="AC382" s="310" t="e">
        <f t="shared" ca="1" si="170"/>
        <v>#N/A</v>
      </c>
      <c r="AD382" s="323" t="e">
        <f t="shared" ca="1" si="171"/>
        <v>#N/A</v>
      </c>
      <c r="AE382" s="324">
        <f t="shared" ca="1" si="150"/>
        <v>528.70487195323358</v>
      </c>
      <c r="AG382" s="306">
        <f t="shared" ca="1" si="172"/>
        <v>-27.545846294884647</v>
      </c>
      <c r="AH382" s="304">
        <f t="shared" ca="1" si="173"/>
        <v>-17.802002632858166</v>
      </c>
    </row>
    <row r="383" spans="1:34" x14ac:dyDescent="0.2">
      <c r="A383" s="347">
        <f t="shared" ca="1" si="151"/>
        <v>0.01</v>
      </c>
      <c r="B383" s="304">
        <f t="shared" ca="1" si="152"/>
        <v>3.7899999999999632</v>
      </c>
      <c r="D383" s="306">
        <f t="shared" ca="1" si="153"/>
        <v>-2.0589658782657261</v>
      </c>
      <c r="E383" s="307">
        <f t="shared" ca="1" si="154"/>
        <v>-27.440617098976269</v>
      </c>
      <c r="F383" s="304">
        <f t="shared" ca="1" si="155"/>
        <v>27.517754400758999</v>
      </c>
      <c r="G383" s="306">
        <f t="shared" ca="1" si="156"/>
        <v>23.650075317375311</v>
      </c>
      <c r="H383" s="307">
        <f t="shared" ca="1" si="157"/>
        <v>202.41396039111484</v>
      </c>
      <c r="I383" s="304">
        <f t="shared" ca="1" si="158"/>
        <v>203.79091594998374</v>
      </c>
      <c r="J383" s="306">
        <f t="shared" ca="1" si="159"/>
        <v>57.610670606470215</v>
      </c>
      <c r="K383" s="307">
        <f t="shared" ca="1" si="160"/>
        <v>530.73038358799965</v>
      </c>
      <c r="L383" s="304">
        <f t="shared" ca="1" si="145"/>
        <v>533.84803964348544</v>
      </c>
      <c r="M383" s="306">
        <f t="shared" ca="1" si="161"/>
        <v>1.4544835602027903</v>
      </c>
      <c r="N383" s="304">
        <f t="shared" ca="1" si="162"/>
        <v>83.335769370782074</v>
      </c>
      <c r="P383" s="310">
        <f t="shared" ca="1" si="163"/>
        <v>23</v>
      </c>
      <c r="Q383" s="304">
        <f t="shared" ca="1" si="164"/>
        <v>0</v>
      </c>
      <c r="R383" s="306">
        <f t="shared" ca="1" si="165"/>
        <v>0</v>
      </c>
      <c r="S383" s="307">
        <f t="shared" ca="1" si="166"/>
        <v>6.8519999999999914</v>
      </c>
      <c r="T383" s="304">
        <f t="shared" ca="1" si="146"/>
        <v>67.218119999999914</v>
      </c>
      <c r="U383" s="311">
        <f t="shared" ca="1" si="147"/>
        <v>0</v>
      </c>
      <c r="V383" s="306">
        <f t="shared" ca="1" si="148"/>
        <v>1.161666186955042</v>
      </c>
      <c r="W383" s="304">
        <f t="shared" ca="1" si="149"/>
        <v>121.27389044904589</v>
      </c>
      <c r="Y383" s="314" t="str">
        <f t="shared" ca="1" si="167"/>
        <v/>
      </c>
      <c r="Z383" s="315" t="str">
        <f t="shared" ca="1" si="168"/>
        <v/>
      </c>
      <c r="AA383" s="316" t="str">
        <f t="shared" ca="1" si="169"/>
        <v/>
      </c>
      <c r="AC383" s="310" t="e">
        <f t="shared" ca="1" si="170"/>
        <v>#N/A</v>
      </c>
      <c r="AD383" s="323" t="e">
        <f t="shared" ca="1" si="171"/>
        <v>#N/A</v>
      </c>
      <c r="AE383" s="324">
        <f t="shared" ca="1" si="150"/>
        <v>530.73038358799965</v>
      </c>
      <c r="AG383" s="306">
        <f t="shared" ca="1" si="172"/>
        <v>-27.494216863179638</v>
      </c>
      <c r="AH383" s="304">
        <f t="shared" ca="1" si="173"/>
        <v>-17.750436608111279</v>
      </c>
    </row>
    <row r="384" spans="1:34" x14ac:dyDescent="0.2">
      <c r="A384" s="347">
        <f t="shared" ca="1" si="151"/>
        <v>0.01</v>
      </c>
      <c r="B384" s="304">
        <f t="shared" ca="1" si="152"/>
        <v>3.799999999999963</v>
      </c>
      <c r="D384" s="306">
        <f t="shared" ca="1" si="153"/>
        <v>-2.053986867244356</v>
      </c>
      <c r="E384" s="307">
        <f t="shared" ca="1" si="154"/>
        <v>-27.389462678701101</v>
      </c>
      <c r="F384" s="304">
        <f t="shared" ca="1" si="155"/>
        <v>27.466370853805437</v>
      </c>
      <c r="G384" s="306">
        <f t="shared" ca="1" si="156"/>
        <v>23.629535448702867</v>
      </c>
      <c r="H384" s="307">
        <f t="shared" ca="1" si="157"/>
        <v>202.14006576432783</v>
      </c>
      <c r="I384" s="304">
        <f t="shared" ca="1" si="158"/>
        <v>203.51648860160762</v>
      </c>
      <c r="J384" s="306">
        <f t="shared" ca="1" si="159"/>
        <v>57.847068660300607</v>
      </c>
      <c r="K384" s="307">
        <f t="shared" ca="1" si="160"/>
        <v>532.75315371877684</v>
      </c>
      <c r="L384" s="304">
        <f t="shared" ca="1" si="145"/>
        <v>535.88450821972094</v>
      </c>
      <c r="M384" s="306">
        <f t="shared" ca="1" si="161"/>
        <v>1.4544276208916989</v>
      </c>
      <c r="N384" s="304">
        <f t="shared" ca="1" si="162"/>
        <v>83.332564284347669</v>
      </c>
      <c r="P384" s="310">
        <f t="shared" ca="1" si="163"/>
        <v>23</v>
      </c>
      <c r="Q384" s="304">
        <f t="shared" ca="1" si="164"/>
        <v>0</v>
      </c>
      <c r="R384" s="306">
        <f t="shared" ca="1" si="165"/>
        <v>0</v>
      </c>
      <c r="S384" s="307">
        <f t="shared" ca="1" si="166"/>
        <v>6.8519999999999914</v>
      </c>
      <c r="T384" s="304">
        <f t="shared" ca="1" si="146"/>
        <v>67.218119999999914</v>
      </c>
      <c r="U384" s="311">
        <f t="shared" ca="1" si="147"/>
        <v>0</v>
      </c>
      <c r="V384" s="306">
        <f t="shared" ca="1" si="148"/>
        <v>1.1614310661683185</v>
      </c>
      <c r="W384" s="304">
        <f t="shared" ca="1" si="149"/>
        <v>120.92301281879148</v>
      </c>
      <c r="Y384" s="314" t="str">
        <f t="shared" ca="1" si="167"/>
        <v/>
      </c>
      <c r="Z384" s="315" t="str">
        <f t="shared" ca="1" si="168"/>
        <v/>
      </c>
      <c r="AA384" s="316" t="str">
        <f t="shared" ca="1" si="169"/>
        <v/>
      </c>
      <c r="AC384" s="310" t="e">
        <f t="shared" ca="1" si="170"/>
        <v>#N/A</v>
      </c>
      <c r="AD384" s="323" t="e">
        <f t="shared" ca="1" si="171"/>
        <v>#N/A</v>
      </c>
      <c r="AE384" s="324">
        <f t="shared" ca="1" si="150"/>
        <v>532.75315371877684</v>
      </c>
      <c r="AG384" s="306">
        <f t="shared" ca="1" si="172"/>
        <v>-27.442766679866814</v>
      </c>
      <c r="AH384" s="304">
        <f t="shared" ca="1" si="173"/>
        <v>-17.699049977969359</v>
      </c>
    </row>
    <row r="385" spans="1:34" x14ac:dyDescent="0.2">
      <c r="A385" s="347">
        <f t="shared" ca="1" si="151"/>
        <v>0.01</v>
      </c>
      <c r="B385" s="304">
        <f t="shared" ca="1" si="152"/>
        <v>3.8099999999999627</v>
      </c>
      <c r="D385" s="306">
        <f t="shared" ca="1" si="153"/>
        <v>-2.0490246714076692</v>
      </c>
      <c r="E385" s="307">
        <f t="shared" ca="1" si="154"/>
        <v>-27.338486022513557</v>
      </c>
      <c r="F385" s="304">
        <f t="shared" ca="1" si="155"/>
        <v>27.415165877798486</v>
      </c>
      <c r="G385" s="306">
        <f t="shared" ca="1" si="156"/>
        <v>23.609045201988792</v>
      </c>
      <c r="H385" s="307">
        <f t="shared" ca="1" si="157"/>
        <v>201.86668090410271</v>
      </c>
      <c r="I385" s="304">
        <f t="shared" ca="1" si="158"/>
        <v>203.24257397156822</v>
      </c>
      <c r="J385" s="306">
        <f t="shared" ca="1" si="159"/>
        <v>58.083261563554068</v>
      </c>
      <c r="K385" s="307">
        <f t="shared" ca="1" si="160"/>
        <v>534.77318745211903</v>
      </c>
      <c r="L385" s="304">
        <f t="shared" ca="1" si="145"/>
        <v>537.91823476394575</v>
      </c>
      <c r="M385" s="306">
        <f t="shared" ca="1" si="161"/>
        <v>1.4543715793719729</v>
      </c>
      <c r="N385" s="304">
        <f t="shared" ca="1" si="162"/>
        <v>83.329353341789869</v>
      </c>
      <c r="P385" s="310">
        <f t="shared" ca="1" si="163"/>
        <v>23</v>
      </c>
      <c r="Q385" s="304">
        <f t="shared" ca="1" si="164"/>
        <v>0</v>
      </c>
      <c r="R385" s="306">
        <f t="shared" ca="1" si="165"/>
        <v>0</v>
      </c>
      <c r="S385" s="307">
        <f t="shared" ca="1" si="166"/>
        <v>6.8519999999999914</v>
      </c>
      <c r="T385" s="304">
        <f t="shared" ca="1" si="146"/>
        <v>67.218119999999914</v>
      </c>
      <c r="U385" s="311">
        <f t="shared" ca="1" si="147"/>
        <v>0</v>
      </c>
      <c r="V385" s="306">
        <f t="shared" ca="1" si="148"/>
        <v>1.1611963096793154</v>
      </c>
      <c r="W385" s="304">
        <f t="shared" ca="1" si="149"/>
        <v>120.57335312851343</v>
      </c>
      <c r="Y385" s="314" t="str">
        <f t="shared" ca="1" si="167"/>
        <v/>
      </c>
      <c r="Z385" s="315" t="str">
        <f t="shared" ca="1" si="168"/>
        <v/>
      </c>
      <c r="AA385" s="316" t="str">
        <f t="shared" ca="1" si="169"/>
        <v/>
      </c>
      <c r="AC385" s="310" t="e">
        <f t="shared" ca="1" si="170"/>
        <v>#N/A</v>
      </c>
      <c r="AD385" s="323" t="e">
        <f t="shared" ca="1" si="171"/>
        <v>#N/A</v>
      </c>
      <c r="AE385" s="324">
        <f t="shared" ca="1" si="150"/>
        <v>534.77318745211903</v>
      </c>
      <c r="AG385" s="306">
        <f t="shared" ca="1" si="172"/>
        <v>-27.391494919651961</v>
      </c>
      <c r="AH385" s="304">
        <f t="shared" ca="1" si="173"/>
        <v>-17.647841917511911</v>
      </c>
    </row>
    <row r="386" spans="1:34" x14ac:dyDescent="0.2">
      <c r="A386" s="347">
        <f t="shared" ca="1" si="151"/>
        <v>0.01</v>
      </c>
      <c r="B386" s="304">
        <f t="shared" ca="1" si="152"/>
        <v>3.8199999999999625</v>
      </c>
      <c r="D386" s="306">
        <f t="shared" ca="1" si="153"/>
        <v>-2.0440792128992067</v>
      </c>
      <c r="E386" s="307">
        <f t="shared" ca="1" si="154"/>
        <v>-27.287686313984189</v>
      </c>
      <c r="F386" s="304">
        <f t="shared" ca="1" si="155"/>
        <v>27.364138652605288</v>
      </c>
      <c r="G386" s="306">
        <f t="shared" ca="1" si="156"/>
        <v>23.588604409859801</v>
      </c>
      <c r="H386" s="307">
        <f t="shared" ca="1" si="157"/>
        <v>201.59380404096288</v>
      </c>
      <c r="I386" s="304">
        <f t="shared" ca="1" si="158"/>
        <v>202.96917028384138</v>
      </c>
      <c r="J386" s="306">
        <f t="shared" ca="1" si="159"/>
        <v>58.319249811613311</v>
      </c>
      <c r="K386" s="307">
        <f t="shared" ca="1" si="160"/>
        <v>536.79048987684439</v>
      </c>
      <c r="L386" s="304">
        <f t="shared" ca="1" si="145"/>
        <v>539.94922439134211</v>
      </c>
      <c r="M386" s="306">
        <f t="shared" ca="1" si="161"/>
        <v>1.4543154354601868</v>
      </c>
      <c r="N386" s="304">
        <f t="shared" ca="1" si="162"/>
        <v>83.326136532599165</v>
      </c>
      <c r="P386" s="310">
        <f t="shared" ca="1" si="163"/>
        <v>23</v>
      </c>
      <c r="Q386" s="304">
        <f t="shared" ca="1" si="164"/>
        <v>0</v>
      </c>
      <c r="R386" s="306">
        <f t="shared" ca="1" si="165"/>
        <v>0</v>
      </c>
      <c r="S386" s="307">
        <f t="shared" ca="1" si="166"/>
        <v>6.8519999999999914</v>
      </c>
      <c r="T386" s="304">
        <f t="shared" ca="1" si="146"/>
        <v>67.218119999999914</v>
      </c>
      <c r="U386" s="311">
        <f t="shared" ca="1" si="147"/>
        <v>0</v>
      </c>
      <c r="V386" s="306">
        <f t="shared" ca="1" si="148"/>
        <v>1.1609619166954774</v>
      </c>
      <c r="W386" s="304">
        <f t="shared" ca="1" si="149"/>
        <v>120.22490579133417</v>
      </c>
      <c r="Y386" s="314" t="str">
        <f t="shared" ca="1" si="167"/>
        <v/>
      </c>
      <c r="Z386" s="315" t="str">
        <f t="shared" ca="1" si="168"/>
        <v/>
      </c>
      <c r="AA386" s="316" t="str">
        <f t="shared" ca="1" si="169"/>
        <v/>
      </c>
      <c r="AC386" s="310" t="e">
        <f t="shared" ca="1" si="170"/>
        <v>#N/A</v>
      </c>
      <c r="AD386" s="323" t="e">
        <f t="shared" ca="1" si="171"/>
        <v>#N/A</v>
      </c>
      <c r="AE386" s="324">
        <f t="shared" ca="1" si="150"/>
        <v>536.79048987684439</v>
      </c>
      <c r="AG386" s="306">
        <f t="shared" ca="1" si="172"/>
        <v>-27.340400762034314</v>
      </c>
      <c r="AH386" s="304">
        <f t="shared" ca="1" si="173"/>
        <v>-17.596811606613191</v>
      </c>
    </row>
    <row r="387" spans="1:34" x14ac:dyDescent="0.2">
      <c r="A387" s="347">
        <f t="shared" ca="1" si="151"/>
        <v>0.01</v>
      </c>
      <c r="B387" s="304">
        <f t="shared" ca="1" si="152"/>
        <v>3.8299999999999623</v>
      </c>
      <c r="D387" s="306">
        <f t="shared" ca="1" si="153"/>
        <v>-2.0391504143138826</v>
      </c>
      <c r="E387" s="307">
        <f t="shared" ca="1" si="154"/>
        <v>-27.237062741423287</v>
      </c>
      <c r="F387" s="304">
        <f t="shared" ca="1" si="155"/>
        <v>27.31328836285417</v>
      </c>
      <c r="G387" s="306">
        <f t="shared" ca="1" si="156"/>
        <v>23.568212905716663</v>
      </c>
      <c r="H387" s="307">
        <f t="shared" ca="1" si="157"/>
        <v>201.32143341354865</v>
      </c>
      <c r="I387" s="304">
        <f t="shared" ca="1" si="158"/>
        <v>202.69627577056045</v>
      </c>
      <c r="J387" s="306">
        <f t="shared" ca="1" si="159"/>
        <v>58.555033898191191</v>
      </c>
      <c r="K387" s="307">
        <f t="shared" ca="1" si="160"/>
        <v>538.805066064117</v>
      </c>
      <c r="L387" s="304">
        <f t="shared" ca="1" si="145"/>
        <v>541.97748219937682</v>
      </c>
      <c r="M387" s="306">
        <f t="shared" ca="1" si="161"/>
        <v>1.4542591889723691</v>
      </c>
      <c r="N387" s="304">
        <f t="shared" ca="1" si="162"/>
        <v>83.322913846234783</v>
      </c>
      <c r="P387" s="310">
        <f t="shared" ca="1" si="163"/>
        <v>23</v>
      </c>
      <c r="Q387" s="304">
        <f t="shared" ca="1" si="164"/>
        <v>0</v>
      </c>
      <c r="R387" s="306">
        <f t="shared" ca="1" si="165"/>
        <v>0</v>
      </c>
      <c r="S387" s="307">
        <f t="shared" ca="1" si="166"/>
        <v>6.8519999999999914</v>
      </c>
      <c r="T387" s="304">
        <f t="shared" ca="1" si="146"/>
        <v>67.218119999999914</v>
      </c>
      <c r="U387" s="311">
        <f t="shared" ca="1" si="147"/>
        <v>0</v>
      </c>
      <c r="V387" s="306">
        <f t="shared" ca="1" si="148"/>
        <v>1.1607278864271313</v>
      </c>
      <c r="W387" s="304">
        <f t="shared" ca="1" si="149"/>
        <v>119.87766525277202</v>
      </c>
      <c r="Y387" s="314" t="str">
        <f t="shared" ca="1" si="167"/>
        <v/>
      </c>
      <c r="Z387" s="315" t="str">
        <f t="shared" ca="1" si="168"/>
        <v/>
      </c>
      <c r="AA387" s="316" t="str">
        <f t="shared" ca="1" si="169"/>
        <v/>
      </c>
      <c r="AC387" s="310" t="e">
        <f t="shared" ca="1" si="170"/>
        <v>#N/A</v>
      </c>
      <c r="AD387" s="323" t="e">
        <f t="shared" ca="1" si="171"/>
        <v>#N/A</v>
      </c>
      <c r="AE387" s="324">
        <f t="shared" ca="1" si="150"/>
        <v>538.805066064117</v>
      </c>
      <c r="AG387" s="306">
        <f t="shared" ca="1" si="172"/>
        <v>-27.289483391272995</v>
      </c>
      <c r="AH387" s="304">
        <f t="shared" ca="1" si="173"/>
        <v>-17.545958229908685</v>
      </c>
    </row>
    <row r="388" spans="1:34" x14ac:dyDescent="0.2">
      <c r="A388" s="347">
        <f t="shared" ca="1" si="151"/>
        <v>0.01</v>
      </c>
      <c r="B388" s="304">
        <f t="shared" ca="1" si="152"/>
        <v>3.8399999999999621</v>
      </c>
      <c r="D388" s="306">
        <f t="shared" ca="1" si="153"/>
        <v>-2.0342381986948403</v>
      </c>
      <c r="E388" s="307">
        <f t="shared" ca="1" si="154"/>
        <v>-27.186614497847842</v>
      </c>
      <c r="F388" s="304">
        <f t="shared" ca="1" si="155"/>
        <v>27.262614197901488</v>
      </c>
      <c r="G388" s="306">
        <f t="shared" ca="1" si="156"/>
        <v>23.547870523729713</v>
      </c>
      <c r="H388" s="307">
        <f t="shared" ca="1" si="157"/>
        <v>201.04956726857017</v>
      </c>
      <c r="I388" s="304">
        <f t="shared" ca="1" si="158"/>
        <v>202.42388867196891</v>
      </c>
      <c r="J388" s="306">
        <f t="shared" ca="1" si="159"/>
        <v>58.790614315338424</v>
      </c>
      <c r="K388" s="307">
        <f t="shared" ca="1" si="160"/>
        <v>540.81692106752757</v>
      </c>
      <c r="L388" s="304">
        <f t="shared" ref="L388:L451" ca="1" si="174">SQRT(pos_x^2+pos_z^2)</f>
        <v>544.00301326788178</v>
      </c>
      <c r="M388" s="306">
        <f t="shared" ca="1" si="161"/>
        <v>1.4542028397240003</v>
      </c>
      <c r="N388" s="304">
        <f t="shared" ca="1" si="162"/>
        <v>83.319685272124516</v>
      </c>
      <c r="P388" s="310">
        <f t="shared" ca="1" si="163"/>
        <v>23</v>
      </c>
      <c r="Q388" s="304">
        <f t="shared" ca="1" si="164"/>
        <v>0</v>
      </c>
      <c r="R388" s="306">
        <f t="shared" ca="1" si="165"/>
        <v>0</v>
      </c>
      <c r="S388" s="307">
        <f t="shared" ca="1" si="166"/>
        <v>6.8519999999999914</v>
      </c>
      <c r="T388" s="304">
        <f t="shared" ref="T388:T451" ca="1" si="175">m*g</f>
        <v>67.218119999999914</v>
      </c>
      <c r="U388" s="311">
        <f t="shared" ref="U388:U451" ca="1" si="176">IF(pos_xz&lt;L_rampe,Poids*COS(Beta),0)</f>
        <v>0</v>
      </c>
      <c r="V388" s="306">
        <f t="shared" ref="V388:V451" ca="1" si="177">Rho_moyen*(20000-Alt_rampe-pos_z)/(20000+Alt_rampe+pos_z)</f>
        <v>1.1604942180874773</v>
      </c>
      <c r="W388" s="304">
        <f t="shared" ref="W388:W451" ca="1" si="178">1/2*Rho*Sref*Cx*vit_xz^2</f>
        <v>119.53162599051554</v>
      </c>
      <c r="Y388" s="314" t="str">
        <f t="shared" ca="1" si="167"/>
        <v/>
      </c>
      <c r="Z388" s="315" t="str">
        <f t="shared" ca="1" si="168"/>
        <v/>
      </c>
      <c r="AA388" s="316" t="str">
        <f t="shared" ca="1" si="169"/>
        <v/>
      </c>
      <c r="AC388" s="310" t="e">
        <f t="shared" ca="1" si="170"/>
        <v>#N/A</v>
      </c>
      <c r="AD388" s="323" t="e">
        <f t="shared" ca="1" si="171"/>
        <v>#N/A</v>
      </c>
      <c r="AE388" s="324">
        <f t="shared" ref="AE388:AE451" ca="1" si="179">IF(t&lt;T_para, pos_z, NA())</f>
        <v>540.81692106752757</v>
      </c>
      <c r="AG388" s="306">
        <f t="shared" ca="1" si="172"/>
        <v>-27.238741996353777</v>
      </c>
      <c r="AH388" s="304">
        <f t="shared" ca="1" si="173"/>
        <v>-17.495280976761848</v>
      </c>
    </row>
    <row r="389" spans="1:34" x14ac:dyDescent="0.2">
      <c r="A389" s="347">
        <f t="shared" ref="A389:A452" ca="1" si="180">IF(B388+0.01&lt;=T_ini+ROUNDUP(Temps_fin_propu,0), 0.01, IF(K388&gt;0, 0.1, 0.0001))</f>
        <v>0.01</v>
      </c>
      <c r="B389" s="304">
        <f t="shared" ref="B389:B452" ca="1" si="181">B388+pas</f>
        <v>3.8499999999999619</v>
      </c>
      <c r="D389" s="306">
        <f t="shared" ref="D389:D452" ca="1" si="182">IF(AND(L388&lt;L_rampe,Poussee&lt;Poids*SIN(M388)),0,(-W388+Poussee)/m*COS(M388)-U388/m*SIN(M388))</f>
        <v>-2.0293424895303316</v>
      </c>
      <c r="E389" s="307">
        <f t="shared" ref="E389:E452" ca="1" si="183">IF(AND(L388&lt;L_rampe,Poussee&lt;Poids*SIN(M388)),0,(-W388+Poussee)/m*SIN(M388)+U388/m*COS(M388)-Poids/m)</f>
        <v>-27.136340780948636</v>
      </c>
      <c r="F389" s="304">
        <f t="shared" ref="F389:F452" ca="1" si="184">SQRT(acc_x^2+acc_z^2)</f>
        <v>27.212115351798531</v>
      </c>
      <c r="G389" s="306">
        <f t="shared" ref="G389:G452" ca="1" si="185">G388+acc_x*pas</f>
        <v>23.52757709883441</v>
      </c>
      <c r="H389" s="307">
        <f t="shared" ref="H389:H452" ca="1" si="186">H388+acc_z*pas</f>
        <v>200.7782038607607</v>
      </c>
      <c r="I389" s="304">
        <f t="shared" ref="I389:I452" ca="1" si="187">SQRT(vit_x^2+vit_z^2)</f>
        <v>202.15200723637346</v>
      </c>
      <c r="J389" s="306">
        <f t="shared" ref="J389:J452" ca="1" si="188">J388+0.5*(vit_x+G388)*pas*(K388&gt;=0)</f>
        <v>59.025991553451242</v>
      </c>
      <c r="K389" s="307">
        <f t="shared" ref="K389:K452" ca="1" si="189">K388+0.5*(vit_z+H388)*pas</f>
        <v>542.82605992317428</v>
      </c>
      <c r="L389" s="304">
        <f t="shared" ca="1" si="174"/>
        <v>546.02582265913543</v>
      </c>
      <c r="M389" s="306">
        <f t="shared" ref="M389:M452" ca="1" si="190">IF(AND(L388&gt;L_rampe,G389&gt;0),ATAN2(G389,H389),$M$4)</f>
        <v>1.4541463875300125</v>
      </c>
      <c r="N389" s="304">
        <f t="shared" ref="N389:N452" ca="1" si="191">DEGREES(Beta)</f>
        <v>83.31645079966475</v>
      </c>
      <c r="P389" s="310">
        <f t="shared" ref="P389:P452" ca="1" si="192">MATCH(t-pas/2-T_ini,CdP_t)</f>
        <v>23</v>
      </c>
      <c r="Q389" s="304">
        <f t="shared" ref="Q389:Q452" ca="1" si="193">(INDEX(CdP,2,i_P+1)-INDEX(CdP,2,i_P+0))/(INDEX(CdP,1,i_P+1)-INDEX(CdP,1,i_P+0))*(t-pas/2-T_ini-INDEX(CdP,1,i_P+0))+INDEX(CdP,2,i_P+0)</f>
        <v>0</v>
      </c>
      <c r="R389" s="306">
        <f t="shared" ref="R389:R452" ca="1" si="194">Poussee/(g*ISP)</f>
        <v>0</v>
      </c>
      <c r="S389" s="307">
        <f t="shared" ref="S389:S452" ca="1" si="195">S388-Débit*pas</f>
        <v>6.8519999999999914</v>
      </c>
      <c r="T389" s="304">
        <f t="shared" ca="1" si="175"/>
        <v>67.218119999999914</v>
      </c>
      <c r="U389" s="311">
        <f t="shared" ca="1" si="176"/>
        <v>0</v>
      </c>
      <c r="V389" s="306">
        <f t="shared" ca="1" si="177"/>
        <v>1.1602609108925714</v>
      </c>
      <c r="W389" s="304">
        <f t="shared" ca="1" si="178"/>
        <v>119.18678251419904</v>
      </c>
      <c r="Y389" s="314" t="str">
        <f t="shared" ref="Y389:Y452" ca="1" si="196">IF(AND(pos_z&lt;=0,K388&gt;0),"Impact balistique","") &amp; IF(AND(H390&lt;0,vit_z&gt;=0),"Apogée","") &amp; IF(AND(Poussee=0,Q388&gt;0),"Fin de propulsion","") &amp; IF(AND(L390&gt;L_rampe,pos_xz&lt;=L_rampe),"Sortie de rampe","")</f>
        <v/>
      </c>
      <c r="Z389" s="315" t="str">
        <f t="shared" ref="Z389:Z452" ca="1" si="197">IF(ABS(t-T_para)&lt;pas/2,"Para","")</f>
        <v/>
      </c>
      <c r="AA389" s="316" t="str">
        <f t="shared" ref="AA389:AA452" ca="1" si="198">IF(ABS(t-T_satellite)&lt;pas/2,"Satellite","")</f>
        <v/>
      </c>
      <c r="AC389" s="310" t="e">
        <f t="shared" ref="AC389:AC452" ca="1" si="199">IF(ABS(t-ROUND(t,0))&lt;0.001,t,NA())</f>
        <v>#N/A</v>
      </c>
      <c r="AD389" s="323" t="e">
        <f t="shared" ref="AD389:AD452" ca="1" si="200">IF(ABS(t-ROUND(t,0))&lt;0.001,pos_x,NA())</f>
        <v>#N/A</v>
      </c>
      <c r="AE389" s="324">
        <f t="shared" ca="1" si="179"/>
        <v>542.82605992317428</v>
      </c>
      <c r="AG389" s="306">
        <f t="shared" ref="AG389:AG452" ca="1" si="201">IF(AND(L388&lt;L_rampe,Poussee&lt;Poids*SIN(M388)),0,(-W388+Poussee)/m-Poids*SIN(M388)/m)</f>
        <v>-27.1881757709561</v>
      </c>
      <c r="AH389" s="304">
        <f t="shared" ref="AH389:AH452" ca="1" si="202">IF(AND(L388&lt;L_rampe,Poussee&lt;Poids*SIN(M388)), g*SIN(M388), (-W388+Poussee)/m)</f>
        <v>-17.444779041231129</v>
      </c>
    </row>
    <row r="390" spans="1:34" x14ac:dyDescent="0.2">
      <c r="A390" s="347">
        <f t="shared" ca="1" si="180"/>
        <v>0.01</v>
      </c>
      <c r="B390" s="304">
        <f t="shared" ca="1" si="181"/>
        <v>3.8599999999999617</v>
      </c>
      <c r="D390" s="306">
        <f t="shared" ca="1" si="182"/>
        <v>-2.0244632107505982</v>
      </c>
      <c r="E390" s="307">
        <f t="shared" ca="1" si="183"/>
        <v>-27.086240793057712</v>
      </c>
      <c r="F390" s="304">
        <f t="shared" ca="1" si="184"/>
        <v>27.161791023258875</v>
      </c>
      <c r="G390" s="306">
        <f t="shared" ca="1" si="185"/>
        <v>23.507332466726904</v>
      </c>
      <c r="H390" s="307">
        <f t="shared" ca="1" si="186"/>
        <v>200.50734145283013</v>
      </c>
      <c r="I390" s="304">
        <f t="shared" ca="1" si="187"/>
        <v>201.88062972009732</v>
      </c>
      <c r="J390" s="306">
        <f t="shared" ca="1" si="188"/>
        <v>59.261166101279045</v>
      </c>
      <c r="K390" s="307">
        <f t="shared" ca="1" si="189"/>
        <v>544.83248764974223</v>
      </c>
      <c r="L390" s="304">
        <f t="shared" ca="1" si="174"/>
        <v>548.04591541794196</v>
      </c>
      <c r="M390" s="306">
        <f t="shared" ca="1" si="190"/>
        <v>1.4540898322047868</v>
      </c>
      <c r="N390" s="304">
        <f t="shared" ca="1" si="191"/>
        <v>83.313210418220336</v>
      </c>
      <c r="P390" s="310">
        <f t="shared" ca="1" si="192"/>
        <v>23</v>
      </c>
      <c r="Q390" s="304">
        <f t="shared" ca="1" si="193"/>
        <v>0</v>
      </c>
      <c r="R390" s="306">
        <f t="shared" ca="1" si="194"/>
        <v>0</v>
      </c>
      <c r="S390" s="307">
        <f t="shared" ca="1" si="195"/>
        <v>6.8519999999999914</v>
      </c>
      <c r="T390" s="304">
        <f t="shared" ca="1" si="175"/>
        <v>67.218119999999914</v>
      </c>
      <c r="U390" s="311">
        <f t="shared" ca="1" si="176"/>
        <v>0</v>
      </c>
      <c r="V390" s="306">
        <f t="shared" ca="1" si="177"/>
        <v>1.1600279640613136</v>
      </c>
      <c r="W390" s="304">
        <f t="shared" ca="1" si="178"/>
        <v>118.8431293651802</v>
      </c>
      <c r="Y390" s="314" t="str">
        <f t="shared" ca="1" si="196"/>
        <v/>
      </c>
      <c r="Z390" s="315" t="str">
        <f t="shared" ca="1" si="197"/>
        <v/>
      </c>
      <c r="AA390" s="316" t="str">
        <f t="shared" ca="1" si="198"/>
        <v/>
      </c>
      <c r="AC390" s="310" t="e">
        <f t="shared" ca="1" si="199"/>
        <v>#N/A</v>
      </c>
      <c r="AD390" s="323" t="e">
        <f t="shared" ca="1" si="200"/>
        <v>#N/A</v>
      </c>
      <c r="AE390" s="324">
        <f t="shared" ca="1" si="179"/>
        <v>544.83248764974223</v>
      </c>
      <c r="AG390" s="306">
        <f t="shared" ca="1" si="201"/>
        <v>-27.137783913420314</v>
      </c>
      <c r="AH390" s="304">
        <f t="shared" ca="1" si="202"/>
        <v>-17.394451622037241</v>
      </c>
    </row>
    <row r="391" spans="1:34" x14ac:dyDescent="0.2">
      <c r="A391" s="347">
        <f t="shared" ca="1" si="180"/>
        <v>0.01</v>
      </c>
      <c r="B391" s="304">
        <f t="shared" ca="1" si="181"/>
        <v>3.8699999999999615</v>
      </c>
      <c r="D391" s="306">
        <f t="shared" ca="1" si="182"/>
        <v>-2.0196002867247924</v>
      </c>
      <c r="E391" s="307">
        <f t="shared" ca="1" si="183"/>
        <v>-27.036313741116061</v>
      </c>
      <c r="F391" s="304">
        <f t="shared" ca="1" si="184"/>
        <v>27.111640415625903</v>
      </c>
      <c r="G391" s="306">
        <f t="shared" ca="1" si="185"/>
        <v>23.487136463859656</v>
      </c>
      <c r="H391" s="307">
        <f t="shared" ca="1" si="186"/>
        <v>200.23697831541898</v>
      </c>
      <c r="I391" s="304">
        <f t="shared" ca="1" si="187"/>
        <v>201.60975438743418</v>
      </c>
      <c r="J391" s="306">
        <f t="shared" ca="1" si="188"/>
        <v>59.496138445931976</v>
      </c>
      <c r="K391" s="307">
        <f t="shared" ca="1" si="189"/>
        <v>546.83620924858349</v>
      </c>
      <c r="L391" s="304">
        <f t="shared" ca="1" si="174"/>
        <v>550.06329657171102</v>
      </c>
      <c r="M391" s="306">
        <f t="shared" ca="1" si="190"/>
        <v>1.4540331735621519</v>
      </c>
      <c r="N391" s="304">
        <f t="shared" ca="1" si="191"/>
        <v>83.309964117124409</v>
      </c>
      <c r="P391" s="310">
        <f t="shared" ca="1" si="192"/>
        <v>23</v>
      </c>
      <c r="Q391" s="304">
        <f t="shared" ca="1" si="193"/>
        <v>0</v>
      </c>
      <c r="R391" s="306">
        <f t="shared" ca="1" si="194"/>
        <v>0</v>
      </c>
      <c r="S391" s="307">
        <f t="shared" ca="1" si="195"/>
        <v>6.8519999999999914</v>
      </c>
      <c r="T391" s="304">
        <f t="shared" ca="1" si="175"/>
        <v>67.218119999999914</v>
      </c>
      <c r="U391" s="311">
        <f t="shared" ca="1" si="176"/>
        <v>0</v>
      </c>
      <c r="V391" s="306">
        <f t="shared" ca="1" si="177"/>
        <v>1.159795376815435</v>
      </c>
      <c r="W391" s="304">
        <f t="shared" ca="1" si="178"/>
        <v>118.5006611163201</v>
      </c>
      <c r="Y391" s="314" t="str">
        <f t="shared" ca="1" si="196"/>
        <v/>
      </c>
      <c r="Z391" s="315" t="str">
        <f t="shared" ca="1" si="197"/>
        <v/>
      </c>
      <c r="AA391" s="316" t="str">
        <f t="shared" ca="1" si="198"/>
        <v/>
      </c>
      <c r="AC391" s="310" t="e">
        <f t="shared" ca="1" si="199"/>
        <v>#N/A</v>
      </c>
      <c r="AD391" s="323" t="e">
        <f t="shared" ca="1" si="200"/>
        <v>#N/A</v>
      </c>
      <c r="AE391" s="324">
        <f t="shared" ca="1" si="179"/>
        <v>546.83620924858349</v>
      </c>
      <c r="AG391" s="306">
        <f t="shared" ca="1" si="201"/>
        <v>-27.087565626715246</v>
      </c>
      <c r="AH391" s="304">
        <f t="shared" ca="1" si="202"/>
        <v>-17.3442979225307</v>
      </c>
    </row>
    <row r="392" spans="1:34" x14ac:dyDescent="0.2">
      <c r="A392" s="347">
        <f t="shared" ca="1" si="180"/>
        <v>0.01</v>
      </c>
      <c r="B392" s="304">
        <f t="shared" ca="1" si="181"/>
        <v>3.8799999999999613</v>
      </c>
      <c r="D392" s="306">
        <f t="shared" ca="1" si="182"/>
        <v>-2.0147536422579435</v>
      </c>
      <c r="E392" s="307">
        <f t="shared" ca="1" si="183"/>
        <v>-26.986558836641599</v>
      </c>
      <c r="F392" s="304">
        <f t="shared" ca="1" si="184"/>
        <v>27.061662736840663</v>
      </c>
      <c r="G392" s="306">
        <f t="shared" ca="1" si="185"/>
        <v>23.466988927437075</v>
      </c>
      <c r="H392" s="307">
        <f t="shared" ca="1" si="186"/>
        <v>199.96711272705255</v>
      </c>
      <c r="I392" s="304">
        <f t="shared" ca="1" si="187"/>
        <v>201.33937951060193</v>
      </c>
      <c r="J392" s="306">
        <f t="shared" ca="1" si="188"/>
        <v>59.730909072888458</v>
      </c>
      <c r="K392" s="307">
        <f t="shared" ca="1" si="189"/>
        <v>548.83722970379586</v>
      </c>
      <c r="L392" s="304">
        <f t="shared" ca="1" si="174"/>
        <v>552.07797113053778</v>
      </c>
      <c r="M392" s="306">
        <f t="shared" ca="1" si="190"/>
        <v>1.453976411415381</v>
      </c>
      <c r="N392" s="304">
        <f t="shared" ca="1" si="191"/>
        <v>83.30671188567834</v>
      </c>
      <c r="P392" s="310">
        <f t="shared" ca="1" si="192"/>
        <v>23</v>
      </c>
      <c r="Q392" s="304">
        <f t="shared" ca="1" si="193"/>
        <v>0</v>
      </c>
      <c r="R392" s="306">
        <f t="shared" ca="1" si="194"/>
        <v>0</v>
      </c>
      <c r="S392" s="307">
        <f t="shared" ca="1" si="195"/>
        <v>6.8519999999999914</v>
      </c>
      <c r="T392" s="304">
        <f t="shared" ca="1" si="175"/>
        <v>67.218119999999914</v>
      </c>
      <c r="U392" s="311">
        <f t="shared" ca="1" si="176"/>
        <v>0</v>
      </c>
      <c r="V392" s="306">
        <f t="shared" ca="1" si="177"/>
        <v>1.1595631483794822</v>
      </c>
      <c r="W392" s="304">
        <f t="shared" ca="1" si="178"/>
        <v>118.15937237176365</v>
      </c>
      <c r="Y392" s="314" t="str">
        <f t="shared" ca="1" si="196"/>
        <v/>
      </c>
      <c r="Z392" s="315" t="str">
        <f t="shared" ca="1" si="197"/>
        <v/>
      </c>
      <c r="AA392" s="316" t="str">
        <f t="shared" ca="1" si="198"/>
        <v/>
      </c>
      <c r="AC392" s="310" t="e">
        <f t="shared" ca="1" si="199"/>
        <v>#N/A</v>
      </c>
      <c r="AD392" s="323" t="e">
        <f t="shared" ca="1" si="200"/>
        <v>#N/A</v>
      </c>
      <c r="AE392" s="324">
        <f t="shared" ca="1" si="179"/>
        <v>548.83722970379586</v>
      </c>
      <c r="AG392" s="306">
        <f t="shared" ca="1" si="201"/>
        <v>-27.037520118406043</v>
      </c>
      <c r="AH392" s="304">
        <f t="shared" ca="1" si="202"/>
        <v>-17.294317150659698</v>
      </c>
    </row>
    <row r="393" spans="1:34" x14ac:dyDescent="0.2">
      <c r="A393" s="347">
        <f t="shared" ca="1" si="180"/>
        <v>0.01</v>
      </c>
      <c r="B393" s="304">
        <f t="shared" ca="1" si="181"/>
        <v>3.889999999999961</v>
      </c>
      <c r="D393" s="306">
        <f t="shared" ca="1" si="182"/>
        <v>-2.0099232025879235</v>
      </c>
      <c r="E393" s="307">
        <f t="shared" ca="1" si="183"/>
        <v>-26.936975295697344</v>
      </c>
      <c r="F393" s="304">
        <f t="shared" ca="1" si="184"/>
        <v>27.01185719940986</v>
      </c>
      <c r="G393" s="306">
        <f t="shared" ca="1" si="185"/>
        <v>23.446889695411198</v>
      </c>
      <c r="H393" s="307">
        <f t="shared" ca="1" si="186"/>
        <v>199.69774297409558</v>
      </c>
      <c r="I393" s="304">
        <f t="shared" ca="1" si="187"/>
        <v>201.06950336969732</v>
      </c>
      <c r="J393" s="306">
        <f t="shared" ca="1" si="188"/>
        <v>59.9654784660027</v>
      </c>
      <c r="K393" s="307">
        <f t="shared" ca="1" si="189"/>
        <v>550.83555398230158</v>
      </c>
      <c r="L393" s="304">
        <f t="shared" ca="1" si="174"/>
        <v>554.08994408728051</v>
      </c>
      <c r="M393" s="306">
        <f t="shared" ca="1" si="190"/>
        <v>1.4539195455771923</v>
      </c>
      <c r="N393" s="304">
        <f t="shared" ca="1" si="191"/>
        <v>83.303453713151654</v>
      </c>
      <c r="P393" s="310">
        <f t="shared" ca="1" si="192"/>
        <v>23</v>
      </c>
      <c r="Q393" s="304">
        <f t="shared" ca="1" si="193"/>
        <v>0</v>
      </c>
      <c r="R393" s="306">
        <f t="shared" ca="1" si="194"/>
        <v>0</v>
      </c>
      <c r="S393" s="307">
        <f t="shared" ca="1" si="195"/>
        <v>6.8519999999999914</v>
      </c>
      <c r="T393" s="304">
        <f t="shared" ca="1" si="175"/>
        <v>67.218119999999914</v>
      </c>
      <c r="U393" s="311">
        <f t="shared" ca="1" si="176"/>
        <v>0</v>
      </c>
      <c r="V393" s="306">
        <f t="shared" ca="1" si="177"/>
        <v>1.1593312779808058</v>
      </c>
      <c r="W393" s="304">
        <f t="shared" ca="1" si="178"/>
        <v>117.8192577667232</v>
      </c>
      <c r="Y393" s="314" t="str">
        <f t="shared" ca="1" si="196"/>
        <v/>
      </c>
      <c r="Z393" s="315" t="str">
        <f t="shared" ca="1" si="197"/>
        <v/>
      </c>
      <c r="AA393" s="316" t="str">
        <f t="shared" ca="1" si="198"/>
        <v/>
      </c>
      <c r="AC393" s="310" t="e">
        <f t="shared" ca="1" si="199"/>
        <v>#N/A</v>
      </c>
      <c r="AD393" s="323" t="e">
        <f t="shared" ca="1" si="200"/>
        <v>#N/A</v>
      </c>
      <c r="AE393" s="324">
        <f t="shared" ca="1" si="179"/>
        <v>550.83555398230158</v>
      </c>
      <c r="AG393" s="306">
        <f t="shared" ca="1" si="201"/>
        <v>-26.987646600622149</v>
      </c>
      <c r="AH393" s="304">
        <f t="shared" ca="1" si="202"/>
        <v>-17.24450851893809</v>
      </c>
    </row>
    <row r="394" spans="1:34" x14ac:dyDescent="0.2">
      <c r="A394" s="347">
        <f t="shared" ca="1" si="180"/>
        <v>0.01</v>
      </c>
      <c r="B394" s="304">
        <f t="shared" ca="1" si="181"/>
        <v>3.8999999999999608</v>
      </c>
      <c r="D394" s="306">
        <f t="shared" ca="1" si="182"/>
        <v>-2.0051088933824293</v>
      </c>
      <c r="E394" s="307">
        <f t="shared" ca="1" si="183"/>
        <v>-26.887562338859937</v>
      </c>
      <c r="F394" s="304">
        <f t="shared" ca="1" si="184"/>
        <v>26.962223020374275</v>
      </c>
      <c r="G394" s="306">
        <f t="shared" ca="1" si="185"/>
        <v>23.426838606477375</v>
      </c>
      <c r="H394" s="307">
        <f t="shared" ca="1" si="186"/>
        <v>199.42886735070698</v>
      </c>
      <c r="I394" s="304">
        <f t="shared" ca="1" si="187"/>
        <v>200.80012425265036</v>
      </c>
      <c r="J394" s="306">
        <f t="shared" ca="1" si="188"/>
        <v>60.199847107512142</v>
      </c>
      <c r="K394" s="307">
        <f t="shared" ca="1" si="189"/>
        <v>552.83118703392563</v>
      </c>
      <c r="L394" s="304">
        <f t="shared" ca="1" si="174"/>
        <v>556.09922041764014</v>
      </c>
      <c r="M394" s="306">
        <f t="shared" ca="1" si="190"/>
        <v>1.4538625758597454</v>
      </c>
      <c r="N394" s="304">
        <f t="shared" ca="1" si="191"/>
        <v>83.30018958878189</v>
      </c>
      <c r="P394" s="310">
        <f t="shared" ca="1" si="192"/>
        <v>23</v>
      </c>
      <c r="Q394" s="304">
        <f t="shared" ca="1" si="193"/>
        <v>0</v>
      </c>
      <c r="R394" s="306">
        <f t="shared" ca="1" si="194"/>
        <v>0</v>
      </c>
      <c r="S394" s="307">
        <f t="shared" ca="1" si="195"/>
        <v>6.8519999999999914</v>
      </c>
      <c r="T394" s="304">
        <f t="shared" ca="1" si="175"/>
        <v>67.218119999999914</v>
      </c>
      <c r="U394" s="311">
        <f t="shared" ca="1" si="176"/>
        <v>0</v>
      </c>
      <c r="V394" s="306">
        <f t="shared" ca="1" si="177"/>
        <v>1.1590997648495465</v>
      </c>
      <c r="W394" s="304">
        <f t="shared" ca="1" si="178"/>
        <v>117.48031196726315</v>
      </c>
      <c r="Y394" s="314" t="str">
        <f t="shared" ca="1" si="196"/>
        <v/>
      </c>
      <c r="Z394" s="315" t="str">
        <f t="shared" ca="1" si="197"/>
        <v/>
      </c>
      <c r="AA394" s="316" t="str">
        <f t="shared" ca="1" si="198"/>
        <v/>
      </c>
      <c r="AC394" s="310" t="e">
        <f t="shared" ca="1" si="199"/>
        <v>#N/A</v>
      </c>
      <c r="AD394" s="323" t="e">
        <f t="shared" ca="1" si="200"/>
        <v>#N/A</v>
      </c>
      <c r="AE394" s="324">
        <f t="shared" ca="1" si="179"/>
        <v>552.83118703392563</v>
      </c>
      <c r="AG394" s="306">
        <f t="shared" ca="1" si="201"/>
        <v>-26.93794429002574</v>
      </c>
      <c r="AH394" s="304">
        <f t="shared" ca="1" si="202"/>
        <v>-17.194871244413797</v>
      </c>
    </row>
    <row r="395" spans="1:34" x14ac:dyDescent="0.2">
      <c r="A395" s="347">
        <f t="shared" ca="1" si="180"/>
        <v>0.01</v>
      </c>
      <c r="B395" s="304">
        <f t="shared" ca="1" si="181"/>
        <v>3.9099999999999606</v>
      </c>
      <c r="D395" s="306">
        <f t="shared" ca="1" si="182"/>
        <v>-2.0003106407360178</v>
      </c>
      <c r="E395" s="307">
        <f t="shared" ca="1" si="183"/>
        <v>-26.838319191188354</v>
      </c>
      <c r="F395" s="304">
        <f t="shared" ca="1" si="184"/>
        <v>26.912759421277315</v>
      </c>
      <c r="G395" s="306">
        <f t="shared" ca="1" si="185"/>
        <v>23.406835500070017</v>
      </c>
      <c r="H395" s="307">
        <f t="shared" ca="1" si="186"/>
        <v>199.1604841587951</v>
      </c>
      <c r="I395" s="304">
        <f t="shared" ca="1" si="187"/>
        <v>200.5312404551795</v>
      </c>
      <c r="J395" s="306">
        <f t="shared" ca="1" si="188"/>
        <v>60.434015478044877</v>
      </c>
      <c r="K395" s="307">
        <f t="shared" ca="1" si="189"/>
        <v>554.82413379147317</v>
      </c>
      <c r="L395" s="304">
        <f t="shared" ca="1" si="174"/>
        <v>558.10580508023668</v>
      </c>
      <c r="M395" s="306">
        <f t="shared" ca="1" si="190"/>
        <v>1.4538055020746403</v>
      </c>
      <c r="N395" s="304">
        <f t="shared" ca="1" si="191"/>
        <v>83.296919501774539</v>
      </c>
      <c r="P395" s="310">
        <f t="shared" ca="1" si="192"/>
        <v>23</v>
      </c>
      <c r="Q395" s="304">
        <f t="shared" ca="1" si="193"/>
        <v>0</v>
      </c>
      <c r="R395" s="306">
        <f t="shared" ca="1" si="194"/>
        <v>0</v>
      </c>
      <c r="S395" s="307">
        <f t="shared" ca="1" si="195"/>
        <v>6.8519999999999914</v>
      </c>
      <c r="T395" s="304">
        <f t="shared" ca="1" si="175"/>
        <v>67.218119999999914</v>
      </c>
      <c r="U395" s="311">
        <f t="shared" ca="1" si="176"/>
        <v>0</v>
      </c>
      <c r="V395" s="306">
        <f t="shared" ca="1" si="177"/>
        <v>1.158868608218621</v>
      </c>
      <c r="W395" s="304">
        <f t="shared" ca="1" si="178"/>
        <v>117.14252967008632</v>
      </c>
      <c r="Y395" s="314" t="str">
        <f t="shared" ca="1" si="196"/>
        <v/>
      </c>
      <c r="Z395" s="315" t="str">
        <f t="shared" ca="1" si="197"/>
        <v/>
      </c>
      <c r="AA395" s="316" t="str">
        <f t="shared" ca="1" si="198"/>
        <v/>
      </c>
      <c r="AC395" s="310" t="e">
        <f t="shared" ca="1" si="199"/>
        <v>#N/A</v>
      </c>
      <c r="AD395" s="323" t="e">
        <f t="shared" ca="1" si="200"/>
        <v>#N/A</v>
      </c>
      <c r="AE395" s="324">
        <f t="shared" ca="1" si="179"/>
        <v>554.82413379147317</v>
      </c>
      <c r="AG395" s="306">
        <f t="shared" ca="1" si="201"/>
        <v>-26.888412407780237</v>
      </c>
      <c r="AH395" s="304">
        <f t="shared" ca="1" si="202"/>
        <v>-17.145404548637377</v>
      </c>
    </row>
    <row r="396" spans="1:34" x14ac:dyDescent="0.2">
      <c r="A396" s="347">
        <f t="shared" ca="1" si="180"/>
        <v>0.01</v>
      </c>
      <c r="B396" s="304">
        <f t="shared" ca="1" si="181"/>
        <v>3.9199999999999604</v>
      </c>
      <c r="D396" s="306">
        <f t="shared" ca="1" si="182"/>
        <v>-1.9955283711671485</v>
      </c>
      <c r="E396" s="307">
        <f t="shared" ca="1" si="183"/>
        <v>-26.789245082192863</v>
      </c>
      <c r="F396" s="304">
        <f t="shared" ca="1" si="184"/>
        <v>26.863465628133827</v>
      </c>
      <c r="G396" s="306">
        <f t="shared" ca="1" si="185"/>
        <v>23.386880216358346</v>
      </c>
      <c r="H396" s="307">
        <f t="shared" ca="1" si="186"/>
        <v>198.89259170797317</v>
      </c>
      <c r="I396" s="304">
        <f t="shared" ca="1" si="187"/>
        <v>200.26285028074682</v>
      </c>
      <c r="J396" s="306">
        <f t="shared" ca="1" si="188"/>
        <v>60.66798405662702</v>
      </c>
      <c r="K396" s="307">
        <f t="shared" ca="1" si="189"/>
        <v>556.81439917080706</v>
      </c>
      <c r="L396" s="304">
        <f t="shared" ca="1" si="174"/>
        <v>560.1097030166876</v>
      </c>
      <c r="M396" s="306">
        <f t="shared" ca="1" si="190"/>
        <v>1.453748324032915</v>
      </c>
      <c r="N396" s="304">
        <f t="shared" ca="1" si="191"/>
        <v>83.293643441302848</v>
      </c>
      <c r="P396" s="310">
        <f t="shared" ca="1" si="192"/>
        <v>23</v>
      </c>
      <c r="Q396" s="304">
        <f t="shared" ca="1" si="193"/>
        <v>0</v>
      </c>
      <c r="R396" s="306">
        <f t="shared" ca="1" si="194"/>
        <v>0</v>
      </c>
      <c r="S396" s="307">
        <f t="shared" ca="1" si="195"/>
        <v>6.8519999999999914</v>
      </c>
      <c r="T396" s="304">
        <f t="shared" ca="1" si="175"/>
        <v>67.218119999999914</v>
      </c>
      <c r="U396" s="311">
        <f t="shared" ca="1" si="176"/>
        <v>0</v>
      </c>
      <c r="V396" s="306">
        <f t="shared" ca="1" si="177"/>
        <v>1.1586378073237116</v>
      </c>
      <c r="W396" s="304">
        <f t="shared" ca="1" si="178"/>
        <v>116.80590560232264</v>
      </c>
      <c r="Y396" s="314" t="str">
        <f t="shared" ca="1" si="196"/>
        <v/>
      </c>
      <c r="Z396" s="315" t="str">
        <f t="shared" ca="1" si="197"/>
        <v/>
      </c>
      <c r="AA396" s="316" t="str">
        <f t="shared" ca="1" si="198"/>
        <v/>
      </c>
      <c r="AC396" s="310" t="e">
        <f t="shared" ca="1" si="199"/>
        <v>#N/A</v>
      </c>
      <c r="AD396" s="323" t="e">
        <f t="shared" ca="1" si="200"/>
        <v>#N/A</v>
      </c>
      <c r="AE396" s="324">
        <f t="shared" ca="1" si="179"/>
        <v>556.81439917080706</v>
      </c>
      <c r="AG396" s="306">
        <f t="shared" ca="1" si="201"/>
        <v>-26.839050179519152</v>
      </c>
      <c r="AH396" s="304">
        <f t="shared" ca="1" si="202"/>
        <v>-17.096107657630832</v>
      </c>
    </row>
    <row r="397" spans="1:34" x14ac:dyDescent="0.2">
      <c r="A397" s="347">
        <f t="shared" ca="1" si="180"/>
        <v>0.01</v>
      </c>
      <c r="B397" s="304">
        <f t="shared" ca="1" si="181"/>
        <v>3.9299999999999602</v>
      </c>
      <c r="D397" s="306">
        <f t="shared" ca="1" si="182"/>
        <v>-1.9907620116152616</v>
      </c>
      <c r="E397" s="307">
        <f t="shared" ca="1" si="183"/>
        <v>-26.740339245804357</v>
      </c>
      <c r="F397" s="304">
        <f t="shared" ca="1" si="184"/>
        <v>26.814340871399306</v>
      </c>
      <c r="G397" s="306">
        <f t="shared" ca="1" si="185"/>
        <v>23.366972596242192</v>
      </c>
      <c r="H397" s="307">
        <f t="shared" ca="1" si="186"/>
        <v>198.62518831551512</v>
      </c>
      <c r="I397" s="304">
        <f t="shared" ca="1" si="187"/>
        <v>199.99495204051371</v>
      </c>
      <c r="J397" s="306">
        <f t="shared" ca="1" si="188"/>
        <v>60.90175332069002</v>
      </c>
      <c r="K397" s="307">
        <f t="shared" ca="1" si="189"/>
        <v>558.80198807092449</v>
      </c>
      <c r="L397" s="304">
        <f t="shared" ca="1" si="174"/>
        <v>562.1109191516847</v>
      </c>
      <c r="M397" s="306">
        <f t="shared" ca="1" si="190"/>
        <v>1.4536910415450446</v>
      </c>
      <c r="N397" s="304">
        <f t="shared" ca="1" si="191"/>
        <v>83.290361396507876</v>
      </c>
      <c r="P397" s="310">
        <f t="shared" ca="1" si="192"/>
        <v>23</v>
      </c>
      <c r="Q397" s="304">
        <f t="shared" ca="1" si="193"/>
        <v>0</v>
      </c>
      <c r="R397" s="306">
        <f t="shared" ca="1" si="194"/>
        <v>0</v>
      </c>
      <c r="S397" s="307">
        <f t="shared" ca="1" si="195"/>
        <v>6.8519999999999914</v>
      </c>
      <c r="T397" s="304">
        <f t="shared" ca="1" si="175"/>
        <v>67.218119999999914</v>
      </c>
      <c r="U397" s="311">
        <f t="shared" ca="1" si="176"/>
        <v>0</v>
      </c>
      <c r="V397" s="306">
        <f t="shared" ca="1" si="177"/>
        <v>1.1584073614032493</v>
      </c>
      <c r="W397" s="304">
        <f t="shared" ca="1" si="178"/>
        <v>116.47043452131864</v>
      </c>
      <c r="Y397" s="314" t="str">
        <f t="shared" ca="1" si="196"/>
        <v/>
      </c>
      <c r="Z397" s="315" t="str">
        <f t="shared" ca="1" si="197"/>
        <v/>
      </c>
      <c r="AA397" s="316" t="str">
        <f t="shared" ca="1" si="198"/>
        <v/>
      </c>
      <c r="AC397" s="310" t="e">
        <f t="shared" ca="1" si="199"/>
        <v>#N/A</v>
      </c>
      <c r="AD397" s="323" t="e">
        <f t="shared" ca="1" si="200"/>
        <v>#N/A</v>
      </c>
      <c r="AE397" s="324">
        <f t="shared" ca="1" si="179"/>
        <v>558.80198807092449</v>
      </c>
      <c r="AG397" s="306">
        <f t="shared" ca="1" si="201"/>
        <v>-26.789856835315252</v>
      </c>
      <c r="AH397" s="304">
        <f t="shared" ca="1" si="202"/>
        <v>-17.0469798018568</v>
      </c>
    </row>
    <row r="398" spans="1:34" x14ac:dyDescent="0.2">
      <c r="A398" s="347">
        <f t="shared" ca="1" si="180"/>
        <v>0.01</v>
      </c>
      <c r="B398" s="304">
        <f t="shared" ca="1" si="181"/>
        <v>3.93999999999996</v>
      </c>
      <c r="D398" s="306">
        <f t="shared" ca="1" si="182"/>
        <v>-1.9860114894378464</v>
      </c>
      <c r="E398" s="307">
        <f t="shared" ca="1" si="183"/>
        <v>-26.691600920343717</v>
      </c>
      <c r="F398" s="304">
        <f t="shared" ca="1" si="184"/>
        <v>26.765384385939104</v>
      </c>
      <c r="G398" s="306">
        <f t="shared" ca="1" si="185"/>
        <v>23.347112481347814</v>
      </c>
      <c r="H398" s="307">
        <f t="shared" ca="1" si="186"/>
        <v>198.35827230631168</v>
      </c>
      <c r="I398" s="304">
        <f t="shared" ca="1" si="187"/>
        <v>199.72754405329675</v>
      </c>
      <c r="J398" s="306">
        <f t="shared" ca="1" si="188"/>
        <v>61.135323746077972</v>
      </c>
      <c r="K398" s="307">
        <f t="shared" ca="1" si="189"/>
        <v>560.78690537403361</v>
      </c>
      <c r="L398" s="304">
        <f t="shared" ca="1" si="174"/>
        <v>564.10945839307033</v>
      </c>
      <c r="M398" s="306">
        <f t="shared" ca="1" si="190"/>
        <v>1.4536336544209385</v>
      </c>
      <c r="N398" s="304">
        <f t="shared" ca="1" si="191"/>
        <v>83.287073356498198</v>
      </c>
      <c r="P398" s="310">
        <f t="shared" ca="1" si="192"/>
        <v>23</v>
      </c>
      <c r="Q398" s="304">
        <f t="shared" ca="1" si="193"/>
        <v>0</v>
      </c>
      <c r="R398" s="306">
        <f t="shared" ca="1" si="194"/>
        <v>0</v>
      </c>
      <c r="S398" s="307">
        <f t="shared" ca="1" si="195"/>
        <v>6.8519999999999914</v>
      </c>
      <c r="T398" s="304">
        <f t="shared" ca="1" si="175"/>
        <v>67.218119999999914</v>
      </c>
      <c r="U398" s="311">
        <f t="shared" ca="1" si="176"/>
        <v>0</v>
      </c>
      <c r="V398" s="306">
        <f t="shared" ca="1" si="177"/>
        <v>1.158177269698405</v>
      </c>
      <c r="W398" s="304">
        <f t="shared" ca="1" si="178"/>
        <v>116.13611121442956</v>
      </c>
      <c r="Y398" s="314" t="str">
        <f t="shared" ca="1" si="196"/>
        <v/>
      </c>
      <c r="Z398" s="315" t="str">
        <f t="shared" ca="1" si="197"/>
        <v/>
      </c>
      <c r="AA398" s="316" t="str">
        <f t="shared" ca="1" si="198"/>
        <v/>
      </c>
      <c r="AC398" s="310" t="e">
        <f t="shared" ca="1" si="199"/>
        <v>#N/A</v>
      </c>
      <c r="AD398" s="323" t="e">
        <f t="shared" ca="1" si="200"/>
        <v>#N/A</v>
      </c>
      <c r="AE398" s="324">
        <f t="shared" ca="1" si="179"/>
        <v>560.78690537403361</v>
      </c>
      <c r="AG398" s="306">
        <f t="shared" ca="1" si="201"/>
        <v>-26.740831609649796</v>
      </c>
      <c r="AH398" s="304">
        <f t="shared" ca="1" si="202"/>
        <v>-16.998020216187797</v>
      </c>
    </row>
    <row r="399" spans="1:34" x14ac:dyDescent="0.2">
      <c r="A399" s="347">
        <f t="shared" ca="1" si="180"/>
        <v>0.01</v>
      </c>
      <c r="B399" s="304">
        <f t="shared" ca="1" si="181"/>
        <v>3.9499999999999598</v>
      </c>
      <c r="D399" s="306">
        <f t="shared" ca="1" si="182"/>
        <v>-1.9812767324075891</v>
      </c>
      <c r="E399" s="307">
        <f t="shared" ca="1" si="183"/>
        <v>-26.643029348491659</v>
      </c>
      <c r="F399" s="304">
        <f t="shared" ca="1" si="184"/>
        <v>26.716595410998153</v>
      </c>
      <c r="G399" s="306">
        <f t="shared" ca="1" si="185"/>
        <v>23.327299714023738</v>
      </c>
      <c r="H399" s="307">
        <f t="shared" ca="1" si="186"/>
        <v>198.09184201282676</v>
      </c>
      <c r="I399" s="304">
        <f t="shared" ca="1" si="187"/>
        <v>199.46062464552398</v>
      </c>
      <c r="J399" s="306">
        <f t="shared" ca="1" si="188"/>
        <v>61.368695807054827</v>
      </c>
      <c r="K399" s="307">
        <f t="shared" ca="1" si="189"/>
        <v>562.76915594562934</v>
      </c>
      <c r="L399" s="304">
        <f t="shared" ca="1" si="174"/>
        <v>566.10532563191362</v>
      </c>
      <c r="M399" s="306">
        <f t="shared" ca="1" si="190"/>
        <v>1.4535761624699393</v>
      </c>
      <c r="N399" s="304">
        <f t="shared" ca="1" si="191"/>
        <v>83.283779310349971</v>
      </c>
      <c r="P399" s="310">
        <f t="shared" ca="1" si="192"/>
        <v>23</v>
      </c>
      <c r="Q399" s="304">
        <f t="shared" ca="1" si="193"/>
        <v>0</v>
      </c>
      <c r="R399" s="306">
        <f t="shared" ca="1" si="194"/>
        <v>0</v>
      </c>
      <c r="S399" s="307">
        <f t="shared" ca="1" si="195"/>
        <v>6.8519999999999914</v>
      </c>
      <c r="T399" s="304">
        <f t="shared" ca="1" si="175"/>
        <v>67.218119999999914</v>
      </c>
      <c r="U399" s="311">
        <f t="shared" ca="1" si="176"/>
        <v>0</v>
      </c>
      <c r="V399" s="306">
        <f t="shared" ca="1" si="177"/>
        <v>1.1579475314530718</v>
      </c>
      <c r="W399" s="304">
        <f t="shared" ca="1" si="178"/>
        <v>115.8029304988123</v>
      </c>
      <c r="Y399" s="314" t="str">
        <f t="shared" ca="1" si="196"/>
        <v/>
      </c>
      <c r="Z399" s="315" t="str">
        <f t="shared" ca="1" si="197"/>
        <v/>
      </c>
      <c r="AA399" s="316" t="str">
        <f t="shared" ca="1" si="198"/>
        <v/>
      </c>
      <c r="AC399" s="310" t="e">
        <f t="shared" ca="1" si="199"/>
        <v>#N/A</v>
      </c>
      <c r="AD399" s="323" t="e">
        <f t="shared" ca="1" si="200"/>
        <v>#N/A</v>
      </c>
      <c r="AE399" s="324">
        <f t="shared" ca="1" si="179"/>
        <v>562.76915594562934</v>
      </c>
      <c r="AG399" s="306">
        <f t="shared" ca="1" si="201"/>
        <v>-26.691973741382231</v>
      </c>
      <c r="AH399" s="304">
        <f t="shared" ca="1" si="202"/>
        <v>-16.949228139875906</v>
      </c>
    </row>
    <row r="400" spans="1:34" x14ac:dyDescent="0.2">
      <c r="A400" s="347">
        <f t="shared" ca="1" si="180"/>
        <v>0.01</v>
      </c>
      <c r="B400" s="304">
        <f t="shared" ca="1" si="181"/>
        <v>3.9599999999999596</v>
      </c>
      <c r="D400" s="306">
        <f t="shared" ca="1" si="182"/>
        <v>-1.9765576687094881</v>
      </c>
      <c r="E400" s="307">
        <f t="shared" ca="1" si="183"/>
        <v>-26.594623777258619</v>
      </c>
      <c r="F400" s="304">
        <f t="shared" ca="1" si="184"/>
        <v>26.667973190170709</v>
      </c>
      <c r="G400" s="306">
        <f t="shared" ca="1" si="185"/>
        <v>23.307534137336642</v>
      </c>
      <c r="H400" s="307">
        <f t="shared" ca="1" si="186"/>
        <v>197.82589577505416</v>
      </c>
      <c r="I400" s="304">
        <f t="shared" ca="1" si="187"/>
        <v>199.19419215119126</v>
      </c>
      <c r="J400" s="306">
        <f t="shared" ca="1" si="188"/>
        <v>61.601869976311626</v>
      </c>
      <c r="K400" s="307">
        <f t="shared" ca="1" si="189"/>
        <v>564.74874463456877</v>
      </c>
      <c r="L400" s="304">
        <f t="shared" ca="1" si="174"/>
        <v>568.09852574258605</v>
      </c>
      <c r="M400" s="306">
        <f t="shared" ca="1" si="190"/>
        <v>1.4535185655008205</v>
      </c>
      <c r="N400" s="304">
        <f t="shared" ca="1" si="191"/>
        <v>83.280479247106712</v>
      </c>
      <c r="P400" s="310">
        <f t="shared" ca="1" si="192"/>
        <v>23</v>
      </c>
      <c r="Q400" s="304">
        <f t="shared" ca="1" si="193"/>
        <v>0</v>
      </c>
      <c r="R400" s="306">
        <f t="shared" ca="1" si="194"/>
        <v>0</v>
      </c>
      <c r="S400" s="307">
        <f t="shared" ca="1" si="195"/>
        <v>6.8519999999999914</v>
      </c>
      <c r="T400" s="304">
        <f t="shared" ca="1" si="175"/>
        <v>67.218119999999914</v>
      </c>
      <c r="U400" s="311">
        <f t="shared" ca="1" si="176"/>
        <v>0</v>
      </c>
      <c r="V400" s="306">
        <f t="shared" ca="1" si="177"/>
        <v>1.157718145913857</v>
      </c>
      <c r="W400" s="304">
        <f t="shared" ca="1" si="178"/>
        <v>115.47088722122064</v>
      </c>
      <c r="Y400" s="314" t="str">
        <f t="shared" ca="1" si="196"/>
        <v/>
      </c>
      <c r="Z400" s="315" t="str">
        <f t="shared" ca="1" si="197"/>
        <v/>
      </c>
      <c r="AA400" s="316" t="str">
        <f t="shared" ca="1" si="198"/>
        <v/>
      </c>
      <c r="AC400" s="310" t="e">
        <f t="shared" ca="1" si="199"/>
        <v>#N/A</v>
      </c>
      <c r="AD400" s="323" t="e">
        <f t="shared" ca="1" si="200"/>
        <v>#N/A</v>
      </c>
      <c r="AE400" s="324">
        <f t="shared" ca="1" si="179"/>
        <v>564.74874463456877</v>
      </c>
      <c r="AG400" s="306">
        <f t="shared" ca="1" si="201"/>
        <v>-26.643282473719928</v>
      </c>
      <c r="AH400" s="304">
        <f t="shared" ca="1" si="202"/>
        <v>-16.900602816522539</v>
      </c>
    </row>
    <row r="401" spans="1:34" x14ac:dyDescent="0.2">
      <c r="A401" s="347">
        <f t="shared" ca="1" si="180"/>
        <v>0.01</v>
      </c>
      <c r="B401" s="304">
        <f t="shared" ca="1" si="181"/>
        <v>3.9699999999999593</v>
      </c>
      <c r="D401" s="306">
        <f t="shared" ca="1" si="182"/>
        <v>-1.9718542269380275</v>
      </c>
      <c r="E401" s="307">
        <f t="shared" ca="1" si="183"/>
        <v>-26.54638345795501</v>
      </c>
      <c r="F401" s="304">
        <f t="shared" ca="1" si="184"/>
        <v>26.619516971370473</v>
      </c>
      <c r="G401" s="306">
        <f t="shared" ca="1" si="185"/>
        <v>23.287815595067261</v>
      </c>
      <c r="H401" s="307">
        <f t="shared" ca="1" si="186"/>
        <v>197.56043194047461</v>
      </c>
      <c r="I401" s="304">
        <f t="shared" ca="1" si="187"/>
        <v>198.92824491181929</v>
      </c>
      <c r="J401" s="306">
        <f t="shared" ca="1" si="188"/>
        <v>61.834846724973644</v>
      </c>
      <c r="K401" s="307">
        <f t="shared" ca="1" si="189"/>
        <v>566.72567627314641</v>
      </c>
      <c r="L401" s="304">
        <f t="shared" ca="1" si="174"/>
        <v>570.08906358283718</v>
      </c>
      <c r="M401" s="306">
        <f t="shared" ca="1" si="190"/>
        <v>1.4534608633217845</v>
      </c>
      <c r="N401" s="304">
        <f t="shared" ca="1" si="191"/>
        <v>83.277173155779252</v>
      </c>
      <c r="P401" s="310">
        <f t="shared" ca="1" si="192"/>
        <v>23</v>
      </c>
      <c r="Q401" s="304">
        <f t="shared" ca="1" si="193"/>
        <v>0</v>
      </c>
      <c r="R401" s="306">
        <f t="shared" ca="1" si="194"/>
        <v>0</v>
      </c>
      <c r="S401" s="307">
        <f t="shared" ca="1" si="195"/>
        <v>6.8519999999999914</v>
      </c>
      <c r="T401" s="304">
        <f t="shared" ca="1" si="175"/>
        <v>67.218119999999914</v>
      </c>
      <c r="U401" s="311">
        <f t="shared" ca="1" si="176"/>
        <v>0</v>
      </c>
      <c r="V401" s="306">
        <f t="shared" ca="1" si="177"/>
        <v>1.157489112330067</v>
      </c>
      <c r="W401" s="304">
        <f t="shared" ca="1" si="178"/>
        <v>115.13997625780199</v>
      </c>
      <c r="Y401" s="314" t="str">
        <f t="shared" ca="1" si="196"/>
        <v/>
      </c>
      <c r="Z401" s="315" t="str">
        <f t="shared" ca="1" si="197"/>
        <v/>
      </c>
      <c r="AA401" s="316" t="str">
        <f t="shared" ca="1" si="198"/>
        <v/>
      </c>
      <c r="AC401" s="310" t="e">
        <f t="shared" ca="1" si="199"/>
        <v>#N/A</v>
      </c>
      <c r="AD401" s="323" t="e">
        <f t="shared" ca="1" si="200"/>
        <v>#N/A</v>
      </c>
      <c r="AE401" s="324">
        <f t="shared" ca="1" si="179"/>
        <v>566.72567627314641</v>
      </c>
      <c r="AG401" s="306">
        <f t="shared" ca="1" si="201"/>
        <v>-26.594757054188328</v>
      </c>
      <c r="AH401" s="304">
        <f t="shared" ca="1" si="202"/>
        <v>-16.852143494048565</v>
      </c>
    </row>
    <row r="402" spans="1:34" x14ac:dyDescent="0.2">
      <c r="A402" s="347">
        <f t="shared" ca="1" si="180"/>
        <v>0.01</v>
      </c>
      <c r="B402" s="304">
        <f t="shared" ca="1" si="181"/>
        <v>3.9799999999999591</v>
      </c>
      <c r="D402" s="306">
        <f t="shared" ca="1" si="182"/>
        <v>-1.9671663360943719</v>
      </c>
      <c r="E402" s="307">
        <f t="shared" ca="1" si="183"/>
        <v>-26.498307646161706</v>
      </c>
      <c r="F402" s="304">
        <f t="shared" ca="1" si="184"/>
        <v>26.571226006800945</v>
      </c>
      <c r="G402" s="306">
        <f t="shared" ca="1" si="185"/>
        <v>23.268143931706319</v>
      </c>
      <c r="H402" s="307">
        <f t="shared" ca="1" si="186"/>
        <v>197.295448864013</v>
      </c>
      <c r="I402" s="304">
        <f t="shared" ca="1" si="187"/>
        <v>198.66278127641061</v>
      </c>
      <c r="J402" s="306">
        <f t="shared" ca="1" si="188"/>
        <v>62.067626522607512</v>
      </c>
      <c r="K402" s="307">
        <f t="shared" ca="1" si="189"/>
        <v>568.69995567716887</v>
      </c>
      <c r="L402" s="304">
        <f t="shared" ca="1" si="174"/>
        <v>572.07694399386855</v>
      </c>
      <c r="M402" s="306">
        <f t="shared" ca="1" si="190"/>
        <v>1.4534030557404618</v>
      </c>
      <c r="N402" s="304">
        <f t="shared" ca="1" si="191"/>
        <v>83.273861025345596</v>
      </c>
      <c r="P402" s="310">
        <f t="shared" ca="1" si="192"/>
        <v>23</v>
      </c>
      <c r="Q402" s="304">
        <f t="shared" ca="1" si="193"/>
        <v>0</v>
      </c>
      <c r="R402" s="306">
        <f t="shared" ca="1" si="194"/>
        <v>0</v>
      </c>
      <c r="S402" s="307">
        <f t="shared" ca="1" si="195"/>
        <v>6.8519999999999914</v>
      </c>
      <c r="T402" s="304">
        <f t="shared" ca="1" si="175"/>
        <v>67.218119999999914</v>
      </c>
      <c r="U402" s="311">
        <f t="shared" ca="1" si="176"/>
        <v>0</v>
      </c>
      <c r="V402" s="306">
        <f t="shared" ca="1" si="177"/>
        <v>1.157260429953693</v>
      </c>
      <c r="W402" s="304">
        <f t="shared" ca="1" si="178"/>
        <v>114.81019251389534</v>
      </c>
      <c r="Y402" s="314" t="str">
        <f t="shared" ca="1" si="196"/>
        <v/>
      </c>
      <c r="Z402" s="315" t="str">
        <f t="shared" ca="1" si="197"/>
        <v/>
      </c>
      <c r="AA402" s="316" t="str">
        <f t="shared" ca="1" si="198"/>
        <v/>
      </c>
      <c r="AC402" s="310" t="e">
        <f t="shared" ca="1" si="199"/>
        <v>#N/A</v>
      </c>
      <c r="AD402" s="323" t="e">
        <f t="shared" ca="1" si="200"/>
        <v>#N/A</v>
      </c>
      <c r="AE402" s="324">
        <f t="shared" ca="1" si="179"/>
        <v>568.69995567716887</v>
      </c>
      <c r="AG402" s="306">
        <f t="shared" ca="1" si="201"/>
        <v>-26.546396734601252</v>
      </c>
      <c r="AH402" s="304">
        <f t="shared" ca="1" si="202"/>
        <v>-16.803849424664644</v>
      </c>
    </row>
    <row r="403" spans="1:34" x14ac:dyDescent="0.2">
      <c r="A403" s="347">
        <f t="shared" ca="1" si="180"/>
        <v>0.01</v>
      </c>
      <c r="B403" s="304">
        <f t="shared" ca="1" si="181"/>
        <v>3.9899999999999589</v>
      </c>
      <c r="D403" s="306">
        <f t="shared" ca="1" si="182"/>
        <v>-1.9624939255835441</v>
      </c>
      <c r="E403" s="307">
        <f t="shared" ca="1" si="183"/>
        <v>-26.450395601700677</v>
      </c>
      <c r="F403" s="304">
        <f t="shared" ca="1" si="184"/>
        <v>26.523099552925913</v>
      </c>
      <c r="G403" s="306">
        <f t="shared" ca="1" si="185"/>
        <v>23.248518992450485</v>
      </c>
      <c r="H403" s="307">
        <f t="shared" ca="1" si="186"/>
        <v>197.030944907996</v>
      </c>
      <c r="I403" s="304">
        <f t="shared" ca="1" si="187"/>
        <v>198.39779960140709</v>
      </c>
      <c r="J403" s="306">
        <f t="shared" ca="1" si="188"/>
        <v>62.300209837228294</v>
      </c>
      <c r="K403" s="307">
        <f t="shared" ca="1" si="189"/>
        <v>570.67158764602891</v>
      </c>
      <c r="L403" s="304">
        <f t="shared" ca="1" si="174"/>
        <v>574.06217180040869</v>
      </c>
      <c r="M403" s="306">
        <f t="shared" ca="1" si="190"/>
        <v>1.4533451425639079</v>
      </c>
      <c r="N403" s="304">
        <f t="shared" ca="1" si="191"/>
        <v>83.270542844750864</v>
      </c>
      <c r="P403" s="310">
        <f t="shared" ca="1" si="192"/>
        <v>23</v>
      </c>
      <c r="Q403" s="304">
        <f t="shared" ca="1" si="193"/>
        <v>0</v>
      </c>
      <c r="R403" s="306">
        <f t="shared" ca="1" si="194"/>
        <v>0</v>
      </c>
      <c r="S403" s="307">
        <f t="shared" ca="1" si="195"/>
        <v>6.8519999999999914</v>
      </c>
      <c r="T403" s="304">
        <f t="shared" ca="1" si="175"/>
        <v>67.218119999999914</v>
      </c>
      <c r="U403" s="311">
        <f t="shared" ca="1" si="176"/>
        <v>0</v>
      </c>
      <c r="V403" s="306">
        <f t="shared" ca="1" si="177"/>
        <v>1.1570320980394027</v>
      </c>
      <c r="W403" s="304">
        <f t="shared" ca="1" si="178"/>
        <v>114.48153092383174</v>
      </c>
      <c r="Y403" s="314" t="str">
        <f t="shared" ca="1" si="196"/>
        <v/>
      </c>
      <c r="Z403" s="315" t="str">
        <f t="shared" ca="1" si="197"/>
        <v/>
      </c>
      <c r="AA403" s="316" t="str">
        <f t="shared" ca="1" si="198"/>
        <v/>
      </c>
      <c r="AC403" s="310" t="e">
        <f t="shared" ca="1" si="199"/>
        <v>#N/A</v>
      </c>
      <c r="AD403" s="323" t="e">
        <f t="shared" ca="1" si="200"/>
        <v>#N/A</v>
      </c>
      <c r="AE403" s="324">
        <f t="shared" ca="1" si="179"/>
        <v>570.67158764602891</v>
      </c>
      <c r="AG403" s="306">
        <f t="shared" ca="1" si="201"/>
        <v>-26.498200771031403</v>
      </c>
      <c r="AH403" s="304">
        <f t="shared" ca="1" si="202"/>
        <v>-16.755719864841723</v>
      </c>
    </row>
    <row r="404" spans="1:34" x14ac:dyDescent="0.2">
      <c r="A404" s="347">
        <f t="shared" ca="1" si="180"/>
        <v>0.01</v>
      </c>
      <c r="B404" s="304">
        <f t="shared" ca="1" si="181"/>
        <v>3.9999999999999587</v>
      </c>
      <c r="D404" s="306">
        <f t="shared" ca="1" si="182"/>
        <v>-1.9578369252116927</v>
      </c>
      <c r="E404" s="307">
        <f t="shared" ca="1" si="183"/>
        <v>-26.40264658860599</v>
      </c>
      <c r="F404" s="304">
        <f t="shared" ca="1" si="184"/>
        <v>26.475136870440348</v>
      </c>
      <c r="G404" s="306">
        <f t="shared" ca="1" si="185"/>
        <v>23.228940623198369</v>
      </c>
      <c r="H404" s="307">
        <f t="shared" ca="1" si="186"/>
        <v>196.76691844210995</v>
      </c>
      <c r="I404" s="304">
        <f t="shared" ca="1" si="187"/>
        <v>198.1332982506475</v>
      </c>
      <c r="J404" s="306">
        <f t="shared" ca="1" si="188"/>
        <v>62.532597135306538</v>
      </c>
      <c r="K404" s="307">
        <f t="shared" ca="1" si="189"/>
        <v>572.64057696277939</v>
      </c>
      <c r="L404" s="304">
        <f t="shared" ca="1" si="174"/>
        <v>576.04475181078715</v>
      </c>
      <c r="M404" s="306">
        <f t="shared" ca="1" si="190"/>
        <v>1.453287123598602</v>
      </c>
      <c r="N404" s="304">
        <f t="shared" ca="1" si="191"/>
        <v>83.267218602907121</v>
      </c>
      <c r="P404" s="310">
        <f t="shared" ca="1" si="192"/>
        <v>23</v>
      </c>
      <c r="Q404" s="304">
        <f t="shared" ca="1" si="193"/>
        <v>0</v>
      </c>
      <c r="R404" s="306">
        <f t="shared" ca="1" si="194"/>
        <v>0</v>
      </c>
      <c r="S404" s="307">
        <f t="shared" ca="1" si="195"/>
        <v>6.8519999999999914</v>
      </c>
      <c r="T404" s="304">
        <f t="shared" ca="1" si="175"/>
        <v>67.218119999999914</v>
      </c>
      <c r="U404" s="311">
        <f t="shared" ca="1" si="176"/>
        <v>0</v>
      </c>
      <c r="V404" s="306">
        <f t="shared" ca="1" si="177"/>
        <v>1.1568041158445237</v>
      </c>
      <c r="W404" s="304">
        <f t="shared" ca="1" si="178"/>
        <v>114.15398645073523</v>
      </c>
      <c r="Y404" s="314" t="str">
        <f t="shared" ca="1" si="196"/>
        <v/>
      </c>
      <c r="Z404" s="315" t="str">
        <f t="shared" ca="1" si="197"/>
        <v/>
      </c>
      <c r="AA404" s="316" t="str">
        <f t="shared" ca="1" si="198"/>
        <v/>
      </c>
      <c r="AC404" s="310">
        <f t="shared" ca="1" si="199"/>
        <v>3.9999999999999587</v>
      </c>
      <c r="AD404" s="323">
        <f t="shared" ca="1" si="200"/>
        <v>62.532597135306538</v>
      </c>
      <c r="AE404" s="324">
        <f t="shared" ca="1" si="179"/>
        <v>572.64057696277939</v>
      </c>
      <c r="AG404" s="306">
        <f t="shared" ca="1" si="201"/>
        <v>-26.45016842378126</v>
      </c>
      <c r="AH404" s="304">
        <f t="shared" ca="1" si="202"/>
        <v>-16.707754075281944</v>
      </c>
    </row>
    <row r="405" spans="1:34" x14ac:dyDescent="0.2">
      <c r="A405" s="347">
        <f t="shared" ca="1" si="180"/>
        <v>0.1</v>
      </c>
      <c r="B405" s="304">
        <f t="shared" ca="1" si="181"/>
        <v>4.0999999999999588</v>
      </c>
      <c r="D405" s="306">
        <f t="shared" ca="1" si="182"/>
        <v>-1.9531952651833213</v>
      </c>
      <c r="E405" s="307">
        <f t="shared" ca="1" si="183"/>
        <v>-26.355059875094916</v>
      </c>
      <c r="F405" s="304">
        <f t="shared" ca="1" si="184"/>
        <v>26.427337224241352</v>
      </c>
      <c r="G405" s="306">
        <f t="shared" ca="1" si="185"/>
        <v>23.033621096680037</v>
      </c>
      <c r="H405" s="307">
        <f t="shared" ca="1" si="186"/>
        <v>194.13141245460045</v>
      </c>
      <c r="I405" s="304">
        <f t="shared" ca="1" si="187"/>
        <v>195.49310218635242</v>
      </c>
      <c r="J405" s="306">
        <f t="shared" ca="1" si="188"/>
        <v>64.845725221300455</v>
      </c>
      <c r="K405" s="307">
        <f t="shared" ca="1" si="189"/>
        <v>592.18549350761486</v>
      </c>
      <c r="L405" s="304">
        <f t="shared" ca="1" si="174"/>
        <v>595.72529474610508</v>
      </c>
      <c r="M405" s="306">
        <f t="shared" ca="1" si="190"/>
        <v>1.4526988091305126</v>
      </c>
      <c r="N405" s="304">
        <f t="shared" ca="1" si="191"/>
        <v>83.233510666859118</v>
      </c>
      <c r="P405" s="310">
        <f t="shared" ca="1" si="192"/>
        <v>23</v>
      </c>
      <c r="Q405" s="304">
        <f t="shared" ca="1" si="193"/>
        <v>0</v>
      </c>
      <c r="R405" s="306">
        <f t="shared" ca="1" si="194"/>
        <v>0</v>
      </c>
      <c r="S405" s="307">
        <f t="shared" ca="1" si="195"/>
        <v>6.8519999999999914</v>
      </c>
      <c r="T405" s="304">
        <f t="shared" ca="1" si="175"/>
        <v>67.218119999999914</v>
      </c>
      <c r="U405" s="311">
        <f t="shared" ca="1" si="176"/>
        <v>0</v>
      </c>
      <c r="V405" s="306">
        <f t="shared" ca="1" si="177"/>
        <v>1.154543444548366</v>
      </c>
      <c r="W405" s="304">
        <f t="shared" ca="1" si="178"/>
        <v>110.91479356860411</v>
      </c>
      <c r="Y405" s="314" t="str">
        <f t="shared" ca="1" si="196"/>
        <v/>
      </c>
      <c r="Z405" s="315" t="str">
        <f t="shared" ca="1" si="197"/>
        <v/>
      </c>
      <c r="AA405" s="316" t="str">
        <f t="shared" ca="1" si="198"/>
        <v/>
      </c>
      <c r="AC405" s="310" t="e">
        <f t="shared" ca="1" si="199"/>
        <v>#N/A</v>
      </c>
      <c r="AD405" s="323" t="e">
        <f t="shared" ca="1" si="200"/>
        <v>#N/A</v>
      </c>
      <c r="AE405" s="324">
        <f t="shared" ca="1" si="179"/>
        <v>592.18549350761486</v>
      </c>
      <c r="AG405" s="306">
        <f t="shared" ca="1" si="201"/>
        <v>-26.402298957354013</v>
      </c>
      <c r="AH405" s="304">
        <f t="shared" ca="1" si="202"/>
        <v>-16.659951320889576</v>
      </c>
    </row>
    <row r="406" spans="1:34" x14ac:dyDescent="0.2">
      <c r="A406" s="347">
        <f t="shared" ca="1" si="180"/>
        <v>0.1</v>
      </c>
      <c r="B406" s="304">
        <f t="shared" ca="1" si="181"/>
        <v>4.1999999999999584</v>
      </c>
      <c r="D406" s="306">
        <f t="shared" ca="1" si="182"/>
        <v>-1.9072292608311248</v>
      </c>
      <c r="E406" s="307">
        <f t="shared" ca="1" si="183"/>
        <v>-25.884463877208447</v>
      </c>
      <c r="F406" s="304">
        <f t="shared" ca="1" si="184"/>
        <v>25.954633375639876</v>
      </c>
      <c r="G406" s="306">
        <f t="shared" ca="1" si="185"/>
        <v>22.842898170596925</v>
      </c>
      <c r="H406" s="307">
        <f t="shared" ca="1" si="186"/>
        <v>191.54296606687961</v>
      </c>
      <c r="I406" s="304">
        <f t="shared" ca="1" si="187"/>
        <v>192.90024843563592</v>
      </c>
      <c r="J406" s="306">
        <f t="shared" ca="1" si="188"/>
        <v>67.139551184664299</v>
      </c>
      <c r="K406" s="307">
        <f t="shared" ca="1" si="189"/>
        <v>611.46921243368888</v>
      </c>
      <c r="L406" s="304">
        <f t="shared" ca="1" si="174"/>
        <v>615.14414334166736</v>
      </c>
      <c r="M406" s="306">
        <f t="shared" ca="1" si="190"/>
        <v>1.4520996157229491</v>
      </c>
      <c r="N406" s="304">
        <f t="shared" ca="1" si="191"/>
        <v>83.199179413493667</v>
      </c>
      <c r="P406" s="310">
        <f t="shared" ca="1" si="192"/>
        <v>23</v>
      </c>
      <c r="Q406" s="304">
        <f t="shared" ca="1" si="193"/>
        <v>0</v>
      </c>
      <c r="R406" s="306">
        <f t="shared" ca="1" si="194"/>
        <v>0</v>
      </c>
      <c r="S406" s="307">
        <f t="shared" ca="1" si="195"/>
        <v>6.8519999999999914</v>
      </c>
      <c r="T406" s="304">
        <f t="shared" ca="1" si="175"/>
        <v>67.218119999999914</v>
      </c>
      <c r="U406" s="311">
        <f t="shared" ca="1" si="176"/>
        <v>0</v>
      </c>
      <c r="V406" s="306">
        <f t="shared" ca="1" si="177"/>
        <v>1.152317186609928</v>
      </c>
      <c r="W406" s="304">
        <f t="shared" ca="1" si="178"/>
        <v>107.78390953792471</v>
      </c>
      <c r="Y406" s="314" t="str">
        <f t="shared" ca="1" si="196"/>
        <v/>
      </c>
      <c r="Z406" s="315" t="str">
        <f t="shared" ca="1" si="197"/>
        <v/>
      </c>
      <c r="AA406" s="316" t="str">
        <f t="shared" ca="1" si="198"/>
        <v/>
      </c>
      <c r="AC406" s="310" t="e">
        <f t="shared" ca="1" si="199"/>
        <v>#N/A</v>
      </c>
      <c r="AD406" s="323" t="e">
        <f t="shared" ca="1" si="200"/>
        <v>#N/A</v>
      </c>
      <c r="AE406" s="324">
        <f t="shared" ca="1" si="179"/>
        <v>611.46921243368888</v>
      </c>
      <c r="AG406" s="306">
        <f t="shared" ca="1" si="201"/>
        <v>-25.928883794678011</v>
      </c>
      <c r="AH406" s="304">
        <f t="shared" ca="1" si="202"/>
        <v>-16.187214472942827</v>
      </c>
    </row>
    <row r="407" spans="1:34" x14ac:dyDescent="0.2">
      <c r="A407" s="347">
        <f t="shared" ca="1" si="180"/>
        <v>0.1</v>
      </c>
      <c r="B407" s="304">
        <f t="shared" ca="1" si="181"/>
        <v>4.2999999999999581</v>
      </c>
      <c r="D407" s="306">
        <f t="shared" ca="1" si="182"/>
        <v>-1.862751813032131</v>
      </c>
      <c r="E407" s="307">
        <f t="shared" ca="1" si="183"/>
        <v>-25.429603285448977</v>
      </c>
      <c r="F407" s="304">
        <f t="shared" ca="1" si="184"/>
        <v>25.497736518606349</v>
      </c>
      <c r="G407" s="306">
        <f t="shared" ca="1" si="185"/>
        <v>22.656622989293712</v>
      </c>
      <c r="H407" s="307">
        <f t="shared" ca="1" si="186"/>
        <v>189.00000573833472</v>
      </c>
      <c r="I407" s="304">
        <f t="shared" ca="1" si="187"/>
        <v>190.35315793117158</v>
      </c>
      <c r="J407" s="306">
        <f t="shared" ca="1" si="188"/>
        <v>69.414527242658835</v>
      </c>
      <c r="K407" s="307">
        <f t="shared" ca="1" si="189"/>
        <v>630.49636102394959</v>
      </c>
      <c r="L407" s="304">
        <f t="shared" ca="1" si="174"/>
        <v>634.30594972518145</v>
      </c>
      <c r="M407" s="306">
        <f t="shared" ca="1" si="190"/>
        <v>1.4514893382137317</v>
      </c>
      <c r="N407" s="304">
        <f t="shared" ca="1" si="191"/>
        <v>83.164213087883752</v>
      </c>
      <c r="P407" s="310">
        <f t="shared" ca="1" si="192"/>
        <v>23</v>
      </c>
      <c r="Q407" s="304">
        <f t="shared" ca="1" si="193"/>
        <v>0</v>
      </c>
      <c r="R407" s="306">
        <f t="shared" ca="1" si="194"/>
        <v>0</v>
      </c>
      <c r="S407" s="307">
        <f t="shared" ca="1" si="195"/>
        <v>6.8519999999999914</v>
      </c>
      <c r="T407" s="304">
        <f t="shared" ca="1" si="175"/>
        <v>67.218119999999914</v>
      </c>
      <c r="U407" s="311">
        <f t="shared" ca="1" si="176"/>
        <v>0</v>
      </c>
      <c r="V407" s="306">
        <f t="shared" ca="1" si="177"/>
        <v>1.1501246282456381</v>
      </c>
      <c r="W407" s="304">
        <f t="shared" ca="1" si="178"/>
        <v>104.75660001296504</v>
      </c>
      <c r="Y407" s="314" t="str">
        <f t="shared" ca="1" si="196"/>
        <v/>
      </c>
      <c r="Z407" s="315" t="str">
        <f t="shared" ca="1" si="197"/>
        <v/>
      </c>
      <c r="AA407" s="316" t="str">
        <f t="shared" ca="1" si="198"/>
        <v/>
      </c>
      <c r="AC407" s="310" t="e">
        <f t="shared" ca="1" si="199"/>
        <v>#N/A</v>
      </c>
      <c r="AD407" s="323" t="e">
        <f t="shared" ca="1" si="200"/>
        <v>#N/A</v>
      </c>
      <c r="AE407" s="324">
        <f t="shared" ca="1" si="179"/>
        <v>630.49636102394959</v>
      </c>
      <c r="AG407" s="306">
        <f t="shared" ca="1" si="201"/>
        <v>-25.471259518987019</v>
      </c>
      <c r="AH407" s="304">
        <f t="shared" ca="1" si="202"/>
        <v>-15.730284521004794</v>
      </c>
    </row>
    <row r="408" spans="1:34" x14ac:dyDescent="0.2">
      <c r="A408" s="347">
        <f t="shared" ca="1" si="180"/>
        <v>0.1</v>
      </c>
      <c r="B408" s="304">
        <f t="shared" ca="1" si="181"/>
        <v>4.3999999999999577</v>
      </c>
      <c r="D408" s="306">
        <f t="shared" ca="1" si="182"/>
        <v>-1.8196972220058267</v>
      </c>
      <c r="E408" s="307">
        <f t="shared" ca="1" si="183"/>
        <v>-24.989790278703595</v>
      </c>
      <c r="F408" s="304">
        <f t="shared" ca="1" si="184"/>
        <v>25.055955702254991</v>
      </c>
      <c r="G408" s="306">
        <f t="shared" ca="1" si="185"/>
        <v>22.474653267093128</v>
      </c>
      <c r="H408" s="307">
        <f t="shared" ca="1" si="186"/>
        <v>186.50102671046437</v>
      </c>
      <c r="I408" s="304">
        <f t="shared" ca="1" si="187"/>
        <v>187.85032074375971</v>
      </c>
      <c r="J408" s="306">
        <f t="shared" ca="1" si="188"/>
        <v>71.671091055478172</v>
      </c>
      <c r="K408" s="307">
        <f t="shared" ca="1" si="189"/>
        <v>649.27141264638954</v>
      </c>
      <c r="L408" s="304">
        <f t="shared" ca="1" si="174"/>
        <v>653.21521152903426</v>
      </c>
      <c r="M408" s="306">
        <f t="shared" ca="1" si="190"/>
        <v>1.4508677651492541</v>
      </c>
      <c r="N408" s="304">
        <f t="shared" ca="1" si="191"/>
        <v>83.128599574630172</v>
      </c>
      <c r="P408" s="310">
        <f t="shared" ca="1" si="192"/>
        <v>23</v>
      </c>
      <c r="Q408" s="304">
        <f t="shared" ca="1" si="193"/>
        <v>0</v>
      </c>
      <c r="R408" s="306">
        <f t="shared" ca="1" si="194"/>
        <v>0</v>
      </c>
      <c r="S408" s="307">
        <f t="shared" ca="1" si="195"/>
        <v>6.8519999999999914</v>
      </c>
      <c r="T408" s="304">
        <f t="shared" ca="1" si="175"/>
        <v>67.218119999999914</v>
      </c>
      <c r="U408" s="311">
        <f t="shared" ca="1" si="176"/>
        <v>0</v>
      </c>
      <c r="V408" s="306">
        <f t="shared" ca="1" si="177"/>
        <v>1.1479650805011239</v>
      </c>
      <c r="W408" s="304">
        <f t="shared" ca="1" si="178"/>
        <v>101.82839029098763</v>
      </c>
      <c r="Y408" s="314" t="str">
        <f t="shared" ca="1" si="196"/>
        <v/>
      </c>
      <c r="Z408" s="315" t="str">
        <f t="shared" ca="1" si="197"/>
        <v/>
      </c>
      <c r="AA408" s="316" t="str">
        <f t="shared" ca="1" si="198"/>
        <v/>
      </c>
      <c r="AC408" s="310" t="e">
        <f t="shared" ca="1" si="199"/>
        <v>#N/A</v>
      </c>
      <c r="AD408" s="323" t="e">
        <f t="shared" ca="1" si="200"/>
        <v>#N/A</v>
      </c>
      <c r="AE408" s="324">
        <f t="shared" ca="1" si="179"/>
        <v>649.27141264638954</v>
      </c>
      <c r="AG408" s="306">
        <f t="shared" ca="1" si="201"/>
        <v>-25.02873475685179</v>
      </c>
      <c r="AH408" s="304">
        <f t="shared" ca="1" si="202"/>
        <v>-15.288470521448506</v>
      </c>
    </row>
    <row r="409" spans="1:34" x14ac:dyDescent="0.2">
      <c r="A409" s="347">
        <f t="shared" ca="1" si="180"/>
        <v>0.1</v>
      </c>
      <c r="B409" s="304">
        <f t="shared" ca="1" si="181"/>
        <v>4.4999999999999574</v>
      </c>
      <c r="D409" s="306">
        <f t="shared" ca="1" si="182"/>
        <v>-1.7780033852773933</v>
      </c>
      <c r="E409" s="307">
        <f t="shared" ca="1" si="183"/>
        <v>-24.564374757560142</v>
      </c>
      <c r="F409" s="304">
        <f t="shared" ca="1" si="184"/>
        <v>24.628637868707148</v>
      </c>
      <c r="G409" s="306">
        <f t="shared" ca="1" si="185"/>
        <v>22.296852928565389</v>
      </c>
      <c r="H409" s="307">
        <f t="shared" ca="1" si="186"/>
        <v>184.04458923470835</v>
      </c>
      <c r="I409" s="304">
        <f t="shared" ca="1" si="187"/>
        <v>185.39029229463608</v>
      </c>
      <c r="J409" s="306">
        <f t="shared" ca="1" si="188"/>
        <v>73.909666365261103</v>
      </c>
      <c r="K409" s="307">
        <f t="shared" ca="1" si="189"/>
        <v>667.79869344364818</v>
      </c>
      <c r="L409" s="304">
        <f t="shared" ca="1" si="174"/>
        <v>671.87627860140128</v>
      </c>
      <c r="M409" s="306">
        <f t="shared" ca="1" si="190"/>
        <v>1.450234678570713</v>
      </c>
      <c r="N409" s="304">
        <f t="shared" ca="1" si="191"/>
        <v>83.09232638561339</v>
      </c>
      <c r="P409" s="310">
        <f t="shared" ca="1" si="192"/>
        <v>23</v>
      </c>
      <c r="Q409" s="304">
        <f t="shared" ca="1" si="193"/>
        <v>0</v>
      </c>
      <c r="R409" s="306">
        <f t="shared" ca="1" si="194"/>
        <v>0</v>
      </c>
      <c r="S409" s="307">
        <f t="shared" ca="1" si="195"/>
        <v>6.8519999999999914</v>
      </c>
      <c r="T409" s="304">
        <f t="shared" ca="1" si="175"/>
        <v>67.218119999999914</v>
      </c>
      <c r="U409" s="311">
        <f t="shared" ca="1" si="176"/>
        <v>0</v>
      </c>
      <c r="V409" s="306">
        <f t="shared" ca="1" si="177"/>
        <v>1.1458378781308747</v>
      </c>
      <c r="W409" s="304">
        <f t="shared" ca="1" si="178"/>
        <v>98.99504833205269</v>
      </c>
      <c r="Y409" s="314" t="str">
        <f t="shared" ca="1" si="196"/>
        <v/>
      </c>
      <c r="Z409" s="315" t="str">
        <f t="shared" ca="1" si="197"/>
        <v/>
      </c>
      <c r="AA409" s="316" t="str">
        <f t="shared" ca="1" si="198"/>
        <v/>
      </c>
      <c r="AC409" s="310" t="e">
        <f t="shared" ca="1" si="199"/>
        <v>#N/A</v>
      </c>
      <c r="AD409" s="323" t="e">
        <f t="shared" ca="1" si="200"/>
        <v>#N/A</v>
      </c>
      <c r="AE409" s="324">
        <f t="shared" ca="1" si="179"/>
        <v>667.79869344364818</v>
      </c>
      <c r="AG409" s="306">
        <f t="shared" ca="1" si="201"/>
        <v>-24.600656012086809</v>
      </c>
      <c r="AH409" s="304">
        <f t="shared" ca="1" si="202"/>
        <v>-14.861119423670134</v>
      </c>
    </row>
    <row r="410" spans="1:34" x14ac:dyDescent="0.2">
      <c r="A410" s="347">
        <f t="shared" ca="1" si="180"/>
        <v>0.1</v>
      </c>
      <c r="B410" s="304">
        <f t="shared" ca="1" si="181"/>
        <v>4.599999999999957</v>
      </c>
      <c r="D410" s="306">
        <f t="shared" ca="1" si="182"/>
        <v>-1.737611562295428</v>
      </c>
      <c r="E410" s="307">
        <f t="shared" ca="1" si="183"/>
        <v>-24.152741877372115</v>
      </c>
      <c r="F410" s="304">
        <f t="shared" ca="1" si="184"/>
        <v>24.215165374954339</v>
      </c>
      <c r="G410" s="306">
        <f t="shared" ca="1" si="185"/>
        <v>22.123091772335847</v>
      </c>
      <c r="H410" s="307">
        <f t="shared" ca="1" si="186"/>
        <v>181.62931504697113</v>
      </c>
      <c r="I410" s="304">
        <f t="shared" ca="1" si="187"/>
        <v>182.9716898156627</v>
      </c>
      <c r="J410" s="306">
        <f t="shared" ca="1" si="188"/>
        <v>76.130663600306164</v>
      </c>
      <c r="K410" s="307">
        <f t="shared" ca="1" si="189"/>
        <v>686.08238865773217</v>
      </c>
      <c r="L410" s="304">
        <f t="shared" ca="1" si="174"/>
        <v>690.29335935276276</v>
      </c>
      <c r="M410" s="306">
        <f t="shared" ca="1" si="190"/>
        <v>1.4495898537908445</v>
      </c>
      <c r="N410" s="304">
        <f t="shared" ca="1" si="191"/>
        <v>83.055380647201474</v>
      </c>
      <c r="P410" s="310">
        <f t="shared" ca="1" si="192"/>
        <v>23</v>
      </c>
      <c r="Q410" s="304">
        <f t="shared" ca="1" si="193"/>
        <v>0</v>
      </c>
      <c r="R410" s="306">
        <f t="shared" ca="1" si="194"/>
        <v>0</v>
      </c>
      <c r="S410" s="307">
        <f t="shared" ca="1" si="195"/>
        <v>6.8519999999999914</v>
      </c>
      <c r="T410" s="304">
        <f t="shared" ca="1" si="175"/>
        <v>67.218119999999914</v>
      </c>
      <c r="U410" s="311">
        <f t="shared" ca="1" si="176"/>
        <v>0</v>
      </c>
      <c r="V410" s="306">
        <f t="shared" ca="1" si="177"/>
        <v>1.143742378540797</v>
      </c>
      <c r="W410" s="304">
        <f t="shared" ca="1" si="178"/>
        <v>96.252569066353729</v>
      </c>
      <c r="Y410" s="314" t="str">
        <f t="shared" ca="1" si="196"/>
        <v/>
      </c>
      <c r="Z410" s="315" t="str">
        <f t="shared" ca="1" si="197"/>
        <v/>
      </c>
      <c r="AA410" s="316" t="str">
        <f t="shared" ca="1" si="198"/>
        <v/>
      </c>
      <c r="AC410" s="310" t="e">
        <f t="shared" ca="1" si="199"/>
        <v>#N/A</v>
      </c>
      <c r="AD410" s="323" t="e">
        <f t="shared" ca="1" si="200"/>
        <v>#N/A</v>
      </c>
      <c r="AE410" s="324">
        <f t="shared" ca="1" si="179"/>
        <v>686.08238865773217</v>
      </c>
      <c r="AG410" s="306">
        <f t="shared" ca="1" si="201"/>
        <v>-24.186405186945699</v>
      </c>
      <c r="AH410" s="304">
        <f t="shared" ca="1" si="202"/>
        <v>-14.447613591951665</v>
      </c>
    </row>
    <row r="411" spans="1:34" x14ac:dyDescent="0.2">
      <c r="A411" s="347">
        <f t="shared" ca="1" si="180"/>
        <v>0.1</v>
      </c>
      <c r="B411" s="304">
        <f t="shared" ca="1" si="181"/>
        <v>4.6999999999999567</v>
      </c>
      <c r="D411" s="306">
        <f t="shared" ca="1" si="182"/>
        <v>-1.6984661568974866</v>
      </c>
      <c r="E411" s="307">
        <f t="shared" ca="1" si="183"/>
        <v>-23.754309768380089</v>
      </c>
      <c r="F411" s="304">
        <f t="shared" ca="1" si="184"/>
        <v>23.814953702627342</v>
      </c>
      <c r="G411" s="306">
        <f t="shared" ca="1" si="185"/>
        <v>21.953245156646098</v>
      </c>
      <c r="H411" s="307">
        <f t="shared" ca="1" si="186"/>
        <v>179.25388407013313</v>
      </c>
      <c r="I411" s="304">
        <f t="shared" ca="1" si="187"/>
        <v>180.5931890386139</v>
      </c>
      <c r="J411" s="306">
        <f t="shared" ca="1" si="188"/>
        <v>78.334480446755265</v>
      </c>
      <c r="K411" s="307">
        <f t="shared" ca="1" si="189"/>
        <v>704.12654861358737</v>
      </c>
      <c r="L411" s="304">
        <f t="shared" ca="1" si="174"/>
        <v>708.47052676123781</v>
      </c>
      <c r="M411" s="306">
        <f t="shared" ca="1" si="190"/>
        <v>1.4489330591606999</v>
      </c>
      <c r="N411" s="304">
        <f t="shared" ca="1" si="191"/>
        <v>83.017749086887335</v>
      </c>
      <c r="P411" s="310">
        <f t="shared" ca="1" si="192"/>
        <v>23</v>
      </c>
      <c r="Q411" s="304">
        <f t="shared" ca="1" si="193"/>
        <v>0</v>
      </c>
      <c r="R411" s="306">
        <f t="shared" ca="1" si="194"/>
        <v>0</v>
      </c>
      <c r="S411" s="307">
        <f t="shared" ca="1" si="195"/>
        <v>6.8519999999999914</v>
      </c>
      <c r="T411" s="304">
        <f t="shared" ca="1" si="175"/>
        <v>67.218119999999914</v>
      </c>
      <c r="U411" s="311">
        <f t="shared" ca="1" si="176"/>
        <v>0</v>
      </c>
      <c r="V411" s="306">
        <f t="shared" ca="1" si="177"/>
        <v>1.1416779607894731</v>
      </c>
      <c r="W411" s="304">
        <f t="shared" ca="1" si="178"/>
        <v>93.597159878352485</v>
      </c>
      <c r="Y411" s="314" t="str">
        <f t="shared" ca="1" si="196"/>
        <v/>
      </c>
      <c r="Z411" s="315" t="str">
        <f t="shared" ca="1" si="197"/>
        <v/>
      </c>
      <c r="AA411" s="316" t="str">
        <f t="shared" ca="1" si="198"/>
        <v/>
      </c>
      <c r="AC411" s="310" t="e">
        <f t="shared" ca="1" si="199"/>
        <v>#N/A</v>
      </c>
      <c r="AD411" s="323" t="e">
        <f t="shared" ca="1" si="200"/>
        <v>#N/A</v>
      </c>
      <c r="AE411" s="324">
        <f t="shared" ca="1" si="179"/>
        <v>704.12654861358737</v>
      </c>
      <c r="AG411" s="306">
        <f t="shared" ca="1" si="201"/>
        <v>-23.785397291188797</v>
      </c>
      <c r="AH411" s="304">
        <f t="shared" ca="1" si="202"/>
        <v>-14.047368515229692</v>
      </c>
    </row>
    <row r="412" spans="1:34" x14ac:dyDescent="0.2">
      <c r="A412" s="347">
        <f t="shared" ca="1" si="180"/>
        <v>0.1</v>
      </c>
      <c r="B412" s="304">
        <f t="shared" ca="1" si="181"/>
        <v>4.7999999999999563</v>
      </c>
      <c r="D412" s="306">
        <f t="shared" ca="1" si="182"/>
        <v>-1.6605145160884467</v>
      </c>
      <c r="E412" s="307">
        <f t="shared" ca="1" si="183"/>
        <v>-23.368527426801876</v>
      </c>
      <c r="F412" s="304">
        <f t="shared" ca="1" si="184"/>
        <v>23.42744933951052</v>
      </c>
      <c r="G412" s="306">
        <f t="shared" ca="1" si="185"/>
        <v>21.787193705037254</v>
      </c>
      <c r="H412" s="307">
        <f t="shared" ca="1" si="186"/>
        <v>176.91703132745295</v>
      </c>
      <c r="I412" s="304">
        <f t="shared" ca="1" si="187"/>
        <v>178.25352109638615</v>
      </c>
      <c r="J412" s="306">
        <f t="shared" ca="1" si="188"/>
        <v>80.521502389839426</v>
      </c>
      <c r="K412" s="307">
        <f t="shared" ca="1" si="189"/>
        <v>721.93509438346666</v>
      </c>
      <c r="L412" s="304">
        <f t="shared" ca="1" si="174"/>
        <v>726.41172405845839</v>
      </c>
      <c r="M412" s="306">
        <f t="shared" ca="1" si="190"/>
        <v>1.4482640558259732</v>
      </c>
      <c r="N412" s="304">
        <f t="shared" ca="1" si="191"/>
        <v>82.979418019327312</v>
      </c>
      <c r="P412" s="310">
        <f t="shared" ca="1" si="192"/>
        <v>23</v>
      </c>
      <c r="Q412" s="304">
        <f t="shared" ca="1" si="193"/>
        <v>0</v>
      </c>
      <c r="R412" s="306">
        <f t="shared" ca="1" si="194"/>
        <v>0</v>
      </c>
      <c r="S412" s="307">
        <f t="shared" ca="1" si="195"/>
        <v>6.8519999999999914</v>
      </c>
      <c r="T412" s="304">
        <f t="shared" ca="1" si="175"/>
        <v>67.218119999999914</v>
      </c>
      <c r="U412" s="311">
        <f t="shared" ca="1" si="176"/>
        <v>0</v>
      </c>
      <c r="V412" s="306">
        <f t="shared" ca="1" si="177"/>
        <v>1.1396440246442576</v>
      </c>
      <c r="W412" s="304">
        <f t="shared" ca="1" si="178"/>
        <v>91.025227167605351</v>
      </c>
      <c r="Y412" s="314" t="str">
        <f t="shared" ca="1" si="196"/>
        <v/>
      </c>
      <c r="Z412" s="315" t="str">
        <f t="shared" ca="1" si="197"/>
        <v/>
      </c>
      <c r="AA412" s="316" t="str">
        <f t="shared" ca="1" si="198"/>
        <v/>
      </c>
      <c r="AC412" s="310" t="e">
        <f t="shared" ca="1" si="199"/>
        <v>#N/A</v>
      </c>
      <c r="AD412" s="323" t="e">
        <f t="shared" ca="1" si="200"/>
        <v>#N/A</v>
      </c>
      <c r="AE412" s="324">
        <f t="shared" ca="1" si="179"/>
        <v>721.93509438346666</v>
      </c>
      <c r="AG412" s="306">
        <f t="shared" ca="1" si="201"/>
        <v>-23.397078322860096</v>
      </c>
      <c r="AH412" s="304">
        <f t="shared" ca="1" si="202"/>
        <v>-13.659830688609546</v>
      </c>
    </row>
    <row r="413" spans="1:34" x14ac:dyDescent="0.2">
      <c r="A413" s="347">
        <f t="shared" ca="1" si="180"/>
        <v>0.1</v>
      </c>
      <c r="B413" s="304">
        <f t="shared" ca="1" si="181"/>
        <v>4.8999999999999559</v>
      </c>
      <c r="D413" s="306">
        <f t="shared" ca="1" si="182"/>
        <v>-1.6237067437439006</v>
      </c>
      <c r="E413" s="307">
        <f t="shared" ca="1" si="183"/>
        <v>-22.994872762347569</v>
      </c>
      <c r="F413" s="304">
        <f t="shared" ca="1" si="184"/>
        <v>23.052127818191394</v>
      </c>
      <c r="G413" s="306">
        <f t="shared" ca="1" si="185"/>
        <v>21.624823030662863</v>
      </c>
      <c r="H413" s="307">
        <f t="shared" ca="1" si="186"/>
        <v>174.6175440512182</v>
      </c>
      <c r="I413" s="304">
        <f t="shared" ca="1" si="187"/>
        <v>175.95146962042293</v>
      </c>
      <c r="J413" s="306">
        <f t="shared" ca="1" si="188"/>
        <v>82.692103226624425</v>
      </c>
      <c r="K413" s="307">
        <f t="shared" ca="1" si="189"/>
        <v>739.51182315240021</v>
      </c>
      <c r="L413" s="304">
        <f t="shared" ca="1" si="174"/>
        <v>744.12077011613485</v>
      </c>
      <c r="M413" s="306">
        <f t="shared" ca="1" si="190"/>
        <v>1.4475825974723584</v>
      </c>
      <c r="N413" s="304">
        <f t="shared" ca="1" si="191"/>
        <v>82.940373331751246</v>
      </c>
      <c r="P413" s="310">
        <f t="shared" ca="1" si="192"/>
        <v>23</v>
      </c>
      <c r="Q413" s="304">
        <f t="shared" ca="1" si="193"/>
        <v>0</v>
      </c>
      <c r="R413" s="306">
        <f t="shared" ca="1" si="194"/>
        <v>0</v>
      </c>
      <c r="S413" s="307">
        <f t="shared" ca="1" si="195"/>
        <v>6.8519999999999914</v>
      </c>
      <c r="T413" s="304">
        <f t="shared" ca="1" si="175"/>
        <v>67.218119999999914</v>
      </c>
      <c r="U413" s="311">
        <f t="shared" ca="1" si="176"/>
        <v>0</v>
      </c>
      <c r="V413" s="306">
        <f t="shared" ca="1" si="177"/>
        <v>1.1376399896886298</v>
      </c>
      <c r="W413" s="304">
        <f t="shared" ca="1" si="178"/>
        <v>88.533363895680694</v>
      </c>
      <c r="Y413" s="314" t="str">
        <f t="shared" ca="1" si="196"/>
        <v/>
      </c>
      <c r="Z413" s="315" t="str">
        <f t="shared" ca="1" si="197"/>
        <v/>
      </c>
      <c r="AA413" s="316" t="str">
        <f t="shared" ca="1" si="198"/>
        <v/>
      </c>
      <c r="AC413" s="310" t="e">
        <f t="shared" ca="1" si="199"/>
        <v>#N/A</v>
      </c>
      <c r="AD413" s="323" t="e">
        <f t="shared" ca="1" si="200"/>
        <v>#N/A</v>
      </c>
      <c r="AE413" s="324">
        <f t="shared" ca="1" si="179"/>
        <v>739.51182315240021</v>
      </c>
      <c r="AG413" s="306">
        <f t="shared" ca="1" si="201"/>
        <v>-23.020923306161592</v>
      </c>
      <c r="AH413" s="304">
        <f t="shared" ca="1" si="202"/>
        <v>-13.284475652014809</v>
      </c>
    </row>
    <row r="414" spans="1:34" x14ac:dyDescent="0.2">
      <c r="A414" s="347">
        <f t="shared" ca="1" si="180"/>
        <v>0.1</v>
      </c>
      <c r="B414" s="304">
        <f t="shared" ca="1" si="181"/>
        <v>4.9999999999999556</v>
      </c>
      <c r="D414" s="306">
        <f t="shared" ca="1" si="182"/>
        <v>-1.5879955279826581</v>
      </c>
      <c r="E414" s="307">
        <f t="shared" ca="1" si="183"/>
        <v>-22.632850788996702</v>
      </c>
      <c r="F414" s="304">
        <f t="shared" ca="1" si="184"/>
        <v>22.688491898623003</v>
      </c>
      <c r="G414" s="306">
        <f t="shared" ca="1" si="185"/>
        <v>21.466023477864599</v>
      </c>
      <c r="H414" s="307">
        <f t="shared" ca="1" si="186"/>
        <v>172.35425897231855</v>
      </c>
      <c r="I414" s="304">
        <f t="shared" ca="1" si="187"/>
        <v>173.68586801996668</v>
      </c>
      <c r="J414" s="306">
        <f t="shared" ca="1" si="188"/>
        <v>84.846645552050802</v>
      </c>
      <c r="K414" s="307">
        <f t="shared" ca="1" si="189"/>
        <v>756.86041330357705</v>
      </c>
      <c r="L414" s="304">
        <f t="shared" ca="1" si="174"/>
        <v>761.60136455201871</v>
      </c>
      <c r="M414" s="306">
        <f t="shared" ca="1" si="190"/>
        <v>1.4468884300593874</v>
      </c>
      <c r="N414" s="304">
        <f t="shared" ca="1" si="191"/>
        <v>82.900600468712497</v>
      </c>
      <c r="P414" s="310">
        <f t="shared" ca="1" si="192"/>
        <v>23</v>
      </c>
      <c r="Q414" s="304">
        <f t="shared" ca="1" si="193"/>
        <v>0</v>
      </c>
      <c r="R414" s="306">
        <f t="shared" ca="1" si="194"/>
        <v>0</v>
      </c>
      <c r="S414" s="307">
        <f t="shared" ca="1" si="195"/>
        <v>6.8519999999999914</v>
      </c>
      <c r="T414" s="304">
        <f t="shared" ca="1" si="175"/>
        <v>67.218119999999914</v>
      </c>
      <c r="U414" s="311">
        <f t="shared" ca="1" si="176"/>
        <v>0</v>
      </c>
      <c r="V414" s="306">
        <f t="shared" ca="1" si="177"/>
        <v>1.1356652944775167</v>
      </c>
      <c r="W414" s="304">
        <f t="shared" ca="1" si="178"/>
        <v>86.11833803707556</v>
      </c>
      <c r="Y414" s="314" t="str">
        <f t="shared" ca="1" si="196"/>
        <v/>
      </c>
      <c r="Z414" s="315" t="str">
        <f t="shared" ca="1" si="197"/>
        <v/>
      </c>
      <c r="AA414" s="316" t="str">
        <f t="shared" ca="1" si="198"/>
        <v/>
      </c>
      <c r="AC414" s="310">
        <f t="shared" ca="1" si="199"/>
        <v>4.9999999999999556</v>
      </c>
      <c r="AD414" s="323">
        <f t="shared" ca="1" si="200"/>
        <v>84.846645552050802</v>
      </c>
      <c r="AE414" s="324">
        <f t="shared" ca="1" si="179"/>
        <v>756.86041330357705</v>
      </c>
      <c r="AG414" s="306">
        <f t="shared" ca="1" si="201"/>
        <v>-22.656434473200207</v>
      </c>
      <c r="AH414" s="304">
        <f t="shared" ca="1" si="202"/>
        <v>-12.92080617274968</v>
      </c>
    </row>
    <row r="415" spans="1:34" x14ac:dyDescent="0.2">
      <c r="A415" s="347">
        <f t="shared" ca="1" si="180"/>
        <v>0.1</v>
      </c>
      <c r="B415" s="304">
        <f t="shared" ca="1" si="181"/>
        <v>5.0999999999999552</v>
      </c>
      <c r="D415" s="306">
        <f t="shared" ca="1" si="182"/>
        <v>-1.5533359810703693</v>
      </c>
      <c r="E415" s="307">
        <f t="shared" ca="1" si="183"/>
        <v>-22.28199194711101</v>
      </c>
      <c r="F415" s="304">
        <f t="shared" ca="1" si="184"/>
        <v>22.336069882618286</v>
      </c>
      <c r="G415" s="306">
        <f t="shared" ca="1" si="185"/>
        <v>21.310689879757561</v>
      </c>
      <c r="H415" s="307">
        <f t="shared" ca="1" si="186"/>
        <v>170.12605977760745</v>
      </c>
      <c r="I415" s="304">
        <f t="shared" ca="1" si="187"/>
        <v>171.45559692994937</v>
      </c>
      <c r="J415" s="306">
        <f t="shared" ca="1" si="188"/>
        <v>86.985481219931913</v>
      </c>
      <c r="K415" s="307">
        <f t="shared" ca="1" si="189"/>
        <v>773.98442924107337</v>
      </c>
      <c r="L415" s="304">
        <f t="shared" ca="1" si="174"/>
        <v>778.85709257263193</v>
      </c>
      <c r="M415" s="306">
        <f t="shared" ca="1" si="190"/>
        <v>1.4461812915421637</v>
      </c>
      <c r="N415" s="304">
        <f t="shared" ca="1" si="191"/>
        <v>82.860084416144431</v>
      </c>
      <c r="P415" s="310">
        <f t="shared" ca="1" si="192"/>
        <v>23</v>
      </c>
      <c r="Q415" s="304">
        <f t="shared" ca="1" si="193"/>
        <v>0</v>
      </c>
      <c r="R415" s="306">
        <f t="shared" ca="1" si="194"/>
        <v>0</v>
      </c>
      <c r="S415" s="307">
        <f t="shared" ca="1" si="195"/>
        <v>6.8519999999999914</v>
      </c>
      <c r="T415" s="304">
        <f t="shared" ca="1" si="175"/>
        <v>67.218119999999914</v>
      </c>
      <c r="U415" s="311">
        <f t="shared" ca="1" si="176"/>
        <v>0</v>
      </c>
      <c r="V415" s="306">
        <f t="shared" ca="1" si="177"/>
        <v>1.1337193957375125</v>
      </c>
      <c r="W415" s="304">
        <f t="shared" ca="1" si="178"/>
        <v>83.777081859668414</v>
      </c>
      <c r="Y415" s="314" t="str">
        <f t="shared" ca="1" si="196"/>
        <v/>
      </c>
      <c r="Z415" s="315" t="str">
        <f t="shared" ca="1" si="197"/>
        <v/>
      </c>
      <c r="AA415" s="316" t="str">
        <f t="shared" ca="1" si="198"/>
        <v/>
      </c>
      <c r="AC415" s="310" t="e">
        <f t="shared" ca="1" si="199"/>
        <v>#N/A</v>
      </c>
      <c r="AD415" s="323" t="e">
        <f t="shared" ca="1" si="200"/>
        <v>#N/A</v>
      </c>
      <c r="AE415" s="324">
        <f t="shared" ca="1" si="179"/>
        <v>773.98442924107337</v>
      </c>
      <c r="AG415" s="306">
        <f t="shared" ca="1" si="201"/>
        <v>-22.303139577624336</v>
      </c>
      <c r="AH415" s="304">
        <f t="shared" ca="1" si="202"/>
        <v>-12.568350559993529</v>
      </c>
    </row>
    <row r="416" spans="1:34" x14ac:dyDescent="0.2">
      <c r="A416" s="347">
        <f t="shared" ca="1" si="180"/>
        <v>0.1</v>
      </c>
      <c r="B416" s="304">
        <f t="shared" ca="1" si="181"/>
        <v>5.1999999999999549</v>
      </c>
      <c r="D416" s="306">
        <f t="shared" ca="1" si="182"/>
        <v>-1.5196854908220232</v>
      </c>
      <c r="E416" s="307">
        <f t="shared" ca="1" si="183"/>
        <v>-21.941850546064597</v>
      </c>
      <c r="F416" s="304">
        <f t="shared" ca="1" si="184"/>
        <v>21.994414049409233</v>
      </c>
      <c r="G416" s="306">
        <f t="shared" ca="1" si="185"/>
        <v>21.158721330675359</v>
      </c>
      <c r="H416" s="307">
        <f t="shared" ca="1" si="186"/>
        <v>167.93187472300099</v>
      </c>
      <c r="I416" s="304">
        <f t="shared" ca="1" si="187"/>
        <v>169.25958181542006</v>
      </c>
      <c r="J416" s="306">
        <f t="shared" ca="1" si="188"/>
        <v>89.108951780453566</v>
      </c>
      <c r="K416" s="307">
        <f t="shared" ca="1" si="189"/>
        <v>790.88732596610384</v>
      </c>
      <c r="L416" s="304">
        <f t="shared" ca="1" si="174"/>
        <v>795.89142956889884</v>
      </c>
      <c r="M416" s="306">
        <f t="shared" ca="1" si="190"/>
        <v>1.4454609115803752</v>
      </c>
      <c r="N416" s="304">
        <f t="shared" ca="1" si="191"/>
        <v>82.818809684688162</v>
      </c>
      <c r="P416" s="310">
        <f t="shared" ca="1" si="192"/>
        <v>23</v>
      </c>
      <c r="Q416" s="304">
        <f t="shared" ca="1" si="193"/>
        <v>0</v>
      </c>
      <c r="R416" s="306">
        <f t="shared" ca="1" si="194"/>
        <v>0</v>
      </c>
      <c r="S416" s="307">
        <f t="shared" ca="1" si="195"/>
        <v>6.8519999999999914</v>
      </c>
      <c r="T416" s="304">
        <f t="shared" ca="1" si="175"/>
        <v>67.218119999999914</v>
      </c>
      <c r="U416" s="311">
        <f t="shared" ca="1" si="176"/>
        <v>0</v>
      </c>
      <c r="V416" s="306">
        <f t="shared" ca="1" si="177"/>
        <v>1.1318017676091698</v>
      </c>
      <c r="W416" s="304">
        <f t="shared" ca="1" si="178"/>
        <v>81.50668196709421</v>
      </c>
      <c r="Y416" s="314" t="str">
        <f t="shared" ca="1" si="196"/>
        <v/>
      </c>
      <c r="Z416" s="315" t="str">
        <f t="shared" ca="1" si="197"/>
        <v/>
      </c>
      <c r="AA416" s="316" t="str">
        <f t="shared" ca="1" si="198"/>
        <v/>
      </c>
      <c r="AC416" s="310" t="e">
        <f t="shared" ca="1" si="199"/>
        <v>#N/A</v>
      </c>
      <c r="AD416" s="323" t="e">
        <f t="shared" ca="1" si="200"/>
        <v>#N/A</v>
      </c>
      <c r="AE416" s="324">
        <f t="shared" ca="1" si="179"/>
        <v>790.88732596610384</v>
      </c>
      <c r="AG416" s="306">
        <f t="shared" ca="1" si="201"/>
        <v>-21.96059032928008</v>
      </c>
      <c r="AH416" s="304">
        <f t="shared" ca="1" si="202"/>
        <v>-12.226661100360262</v>
      </c>
    </row>
    <row r="417" spans="1:34" x14ac:dyDescent="0.2">
      <c r="A417" s="347">
        <f t="shared" ca="1" si="180"/>
        <v>0.1</v>
      </c>
      <c r="B417" s="304">
        <f t="shared" ca="1" si="181"/>
        <v>5.2999999999999545</v>
      </c>
      <c r="D417" s="306">
        <f t="shared" ca="1" si="182"/>
        <v>-1.4870035825660421</v>
      </c>
      <c r="E417" s="307">
        <f t="shared" ca="1" si="183"/>
        <v>-21.612003317568327</v>
      </c>
      <c r="F417" s="304">
        <f t="shared" ca="1" si="184"/>
        <v>21.663099202402886</v>
      </c>
      <c r="G417" s="306">
        <f t="shared" ca="1" si="185"/>
        <v>21.010020972418754</v>
      </c>
      <c r="H417" s="307">
        <f t="shared" ca="1" si="186"/>
        <v>165.77067439124414</v>
      </c>
      <c r="I417" s="304">
        <f t="shared" ca="1" si="187"/>
        <v>167.09679072139406</v>
      </c>
      <c r="J417" s="306">
        <f t="shared" ca="1" si="188"/>
        <v>91.217388895608266</v>
      </c>
      <c r="K417" s="307">
        <f t="shared" ca="1" si="189"/>
        <v>807.57245342181614</v>
      </c>
      <c r="L417" s="304">
        <f t="shared" ca="1" si="174"/>
        <v>812.70774547967983</v>
      </c>
      <c r="M417" s="306">
        <f t="shared" ca="1" si="190"/>
        <v>1.4447270112339252</v>
      </c>
      <c r="N417" s="304">
        <f t="shared" ca="1" si="191"/>
        <v>82.776760292253385</v>
      </c>
      <c r="P417" s="310">
        <f t="shared" ca="1" si="192"/>
        <v>23</v>
      </c>
      <c r="Q417" s="304">
        <f t="shared" ca="1" si="193"/>
        <v>0</v>
      </c>
      <c r="R417" s="306">
        <f t="shared" ca="1" si="194"/>
        <v>0</v>
      </c>
      <c r="S417" s="307">
        <f t="shared" ca="1" si="195"/>
        <v>6.8519999999999914</v>
      </c>
      <c r="T417" s="304">
        <f t="shared" ca="1" si="175"/>
        <v>67.218119999999914</v>
      </c>
      <c r="U417" s="311">
        <f t="shared" ca="1" si="176"/>
        <v>0</v>
      </c>
      <c r="V417" s="306">
        <f t="shared" ca="1" si="177"/>
        <v>1.1299119009287373</v>
      </c>
      <c r="W417" s="304">
        <f t="shared" ca="1" si="178"/>
        <v>79.3043700415801</v>
      </c>
      <c r="Y417" s="314" t="str">
        <f t="shared" ca="1" si="196"/>
        <v/>
      </c>
      <c r="Z417" s="315" t="str">
        <f t="shared" ca="1" si="197"/>
        <v/>
      </c>
      <c r="AA417" s="316" t="str">
        <f t="shared" ca="1" si="198"/>
        <v/>
      </c>
      <c r="AC417" s="310" t="e">
        <f t="shared" ca="1" si="199"/>
        <v>#N/A</v>
      </c>
      <c r="AD417" s="323" t="e">
        <f t="shared" ca="1" si="200"/>
        <v>#N/A</v>
      </c>
      <c r="AE417" s="324">
        <f t="shared" ca="1" si="179"/>
        <v>807.57245342181614</v>
      </c>
      <c r="AG417" s="306">
        <f t="shared" ca="1" si="201"/>
        <v>-21.628360940016726</v>
      </c>
      <c r="AH417" s="304">
        <f t="shared" ca="1" si="202"/>
        <v>-11.895312604654745</v>
      </c>
    </row>
    <row r="418" spans="1:34" x14ac:dyDescent="0.2">
      <c r="A418" s="347">
        <f t="shared" ca="1" si="180"/>
        <v>0.1</v>
      </c>
      <c r="B418" s="304">
        <f t="shared" ca="1" si="181"/>
        <v>5.3999999999999542</v>
      </c>
      <c r="D418" s="306">
        <f t="shared" ca="1" si="182"/>
        <v>-1.4552517908180218</v>
      </c>
      <c r="E418" s="307">
        <f t="shared" ca="1" si="183"/>
        <v>-21.292048070759115</v>
      </c>
      <c r="F418" s="304">
        <f t="shared" ca="1" si="184"/>
        <v>21.341721318164474</v>
      </c>
      <c r="G418" s="306">
        <f t="shared" ca="1" si="185"/>
        <v>20.864495793336953</v>
      </c>
      <c r="H418" s="307">
        <f t="shared" ca="1" si="186"/>
        <v>163.64146958416822</v>
      </c>
      <c r="I418" s="304">
        <f t="shared" ca="1" si="187"/>
        <v>164.96623215790689</v>
      </c>
      <c r="J418" s="306">
        <f t="shared" ca="1" si="188"/>
        <v>93.311114733896048</v>
      </c>
      <c r="K418" s="307">
        <f t="shared" ca="1" si="189"/>
        <v>824.04306062058674</v>
      </c>
      <c r="L418" s="304">
        <f t="shared" ca="1" si="174"/>
        <v>829.30930893715788</v>
      </c>
      <c r="M418" s="306">
        <f t="shared" ca="1" si="190"/>
        <v>1.4439793026444931</v>
      </c>
      <c r="N418" s="304">
        <f t="shared" ca="1" si="191"/>
        <v>82.73391974577325</v>
      </c>
      <c r="P418" s="310">
        <f t="shared" ca="1" si="192"/>
        <v>23</v>
      </c>
      <c r="Q418" s="304">
        <f t="shared" ca="1" si="193"/>
        <v>0</v>
      </c>
      <c r="R418" s="306">
        <f t="shared" ca="1" si="194"/>
        <v>0</v>
      </c>
      <c r="S418" s="307">
        <f t="shared" ca="1" si="195"/>
        <v>6.8519999999999914</v>
      </c>
      <c r="T418" s="304">
        <f t="shared" ca="1" si="175"/>
        <v>67.218119999999914</v>
      </c>
      <c r="U418" s="311">
        <f t="shared" ca="1" si="176"/>
        <v>0</v>
      </c>
      <c r="V418" s="306">
        <f t="shared" ca="1" si="177"/>
        <v>1.1280493025469056</v>
      </c>
      <c r="W418" s="304">
        <f t="shared" ca="1" si="178"/>
        <v>77.167514231318194</v>
      </c>
      <c r="Y418" s="314" t="str">
        <f t="shared" ca="1" si="196"/>
        <v/>
      </c>
      <c r="Z418" s="315" t="str">
        <f t="shared" ca="1" si="197"/>
        <v/>
      </c>
      <c r="AA418" s="316" t="str">
        <f t="shared" ca="1" si="198"/>
        <v/>
      </c>
      <c r="AC418" s="310" t="e">
        <f t="shared" ca="1" si="199"/>
        <v>#N/A</v>
      </c>
      <c r="AD418" s="323" t="e">
        <f t="shared" ca="1" si="200"/>
        <v>#N/A</v>
      </c>
      <c r="AE418" s="324">
        <f t="shared" ca="1" si="179"/>
        <v>824.04306062058674</v>
      </c>
      <c r="AG418" s="306">
        <f t="shared" ca="1" si="201"/>
        <v>-21.306046771668733</v>
      </c>
      <c r="AH418" s="304">
        <f t="shared" ca="1" si="202"/>
        <v>-11.573901056856421</v>
      </c>
    </row>
    <row r="419" spans="1:34" x14ac:dyDescent="0.2">
      <c r="A419" s="347">
        <f t="shared" ca="1" si="180"/>
        <v>0.1</v>
      </c>
      <c r="B419" s="304">
        <f t="shared" ca="1" si="181"/>
        <v>5.4999999999999538</v>
      </c>
      <c r="D419" s="306">
        <f t="shared" ca="1" si="182"/>
        <v>-1.4243935398888317</v>
      </c>
      <c r="E419" s="307">
        <f t="shared" ca="1" si="183"/>
        <v>-20.981602440929393</v>
      </c>
      <c r="F419" s="304">
        <f t="shared" ca="1" si="184"/>
        <v>21.029896289465892</v>
      </c>
      <c r="G419" s="306">
        <f t="shared" ca="1" si="185"/>
        <v>20.722056439348069</v>
      </c>
      <c r="H419" s="307">
        <f t="shared" ca="1" si="186"/>
        <v>161.54330934007527</v>
      </c>
      <c r="I419" s="304">
        <f t="shared" ca="1" si="187"/>
        <v>162.86695311087138</v>
      </c>
      <c r="J419" s="306">
        <f t="shared" ca="1" si="188"/>
        <v>95.390442345530303</v>
      </c>
      <c r="K419" s="307">
        <f t="shared" ca="1" si="189"/>
        <v>840.30229956679887</v>
      </c>
      <c r="L419" s="304">
        <f t="shared" ca="1" si="174"/>
        <v>845.69929120706149</v>
      </c>
      <c r="M419" s="306">
        <f t="shared" ca="1" si="190"/>
        <v>1.4432174887022784</v>
      </c>
      <c r="N419" s="304">
        <f t="shared" ca="1" si="191"/>
        <v>82.690271022110124</v>
      </c>
      <c r="P419" s="310">
        <f t="shared" ca="1" si="192"/>
        <v>23</v>
      </c>
      <c r="Q419" s="304">
        <f t="shared" ca="1" si="193"/>
        <v>0</v>
      </c>
      <c r="R419" s="306">
        <f t="shared" ca="1" si="194"/>
        <v>0</v>
      </c>
      <c r="S419" s="307">
        <f t="shared" ca="1" si="195"/>
        <v>6.8519999999999914</v>
      </c>
      <c r="T419" s="304">
        <f t="shared" ca="1" si="175"/>
        <v>67.218119999999914</v>
      </c>
      <c r="U419" s="311">
        <f t="shared" ca="1" si="176"/>
        <v>0</v>
      </c>
      <c r="V419" s="306">
        <f t="shared" ca="1" si="177"/>
        <v>1.1262134946822986</v>
      </c>
      <c r="W419" s="304">
        <f t="shared" ca="1" si="178"/>
        <v>75.093611131436035</v>
      </c>
      <c r="Y419" s="314" t="str">
        <f t="shared" ca="1" si="196"/>
        <v/>
      </c>
      <c r="Z419" s="315" t="str">
        <f t="shared" ca="1" si="197"/>
        <v/>
      </c>
      <c r="AA419" s="316" t="str">
        <f t="shared" ca="1" si="198"/>
        <v/>
      </c>
      <c r="AC419" s="310" t="e">
        <f t="shared" ca="1" si="199"/>
        <v>#N/A</v>
      </c>
      <c r="AD419" s="323" t="e">
        <f t="shared" ca="1" si="200"/>
        <v>#N/A</v>
      </c>
      <c r="AE419" s="324">
        <f t="shared" ca="1" si="179"/>
        <v>840.30229956679887</v>
      </c>
      <c r="AG419" s="306">
        <f t="shared" ca="1" si="201"/>
        <v>-20.993263078049466</v>
      </c>
      <c r="AH419" s="304">
        <f t="shared" ca="1" si="202"/>
        <v>-11.262042357168461</v>
      </c>
    </row>
    <row r="420" spans="1:34" x14ac:dyDescent="0.2">
      <c r="A420" s="347">
        <f t="shared" ca="1" si="180"/>
        <v>0.1</v>
      </c>
      <c r="B420" s="304">
        <f t="shared" ca="1" si="181"/>
        <v>5.5999999999999535</v>
      </c>
      <c r="D420" s="306">
        <f t="shared" ca="1" si="182"/>
        <v>-1.3943940327210207</v>
      </c>
      <c r="E420" s="307">
        <f t="shared" ca="1" si="183"/>
        <v>-20.68030272449608</v>
      </c>
      <c r="F420" s="304">
        <f t="shared" ca="1" si="184"/>
        <v>20.727258754965355</v>
      </c>
      <c r="G420" s="306">
        <f t="shared" ca="1" si="185"/>
        <v>20.582617036075966</v>
      </c>
      <c r="H420" s="307">
        <f t="shared" ca="1" si="186"/>
        <v>159.47527906762565</v>
      </c>
      <c r="I420" s="304">
        <f t="shared" ca="1" si="187"/>
        <v>160.7980371700813</v>
      </c>
      <c r="J420" s="306">
        <f t="shared" ca="1" si="188"/>
        <v>97.455676019301507</v>
      </c>
      <c r="K420" s="307">
        <f t="shared" ca="1" si="189"/>
        <v>856.35322898718391</v>
      </c>
      <c r="L420" s="304">
        <f t="shared" ca="1" si="174"/>
        <v>861.88076993581615</v>
      </c>
      <c r="M420" s="306">
        <f t="shared" ca="1" si="190"/>
        <v>1.4424412626971497</v>
      </c>
      <c r="N420" s="304">
        <f t="shared" ca="1" si="191"/>
        <v>82.645796548067949</v>
      </c>
      <c r="P420" s="310">
        <f t="shared" ca="1" si="192"/>
        <v>23</v>
      </c>
      <c r="Q420" s="304">
        <f t="shared" ca="1" si="193"/>
        <v>0</v>
      </c>
      <c r="R420" s="306">
        <f t="shared" ca="1" si="194"/>
        <v>0</v>
      </c>
      <c r="S420" s="307">
        <f t="shared" ca="1" si="195"/>
        <v>6.8519999999999914</v>
      </c>
      <c r="T420" s="304">
        <f t="shared" ca="1" si="175"/>
        <v>67.218119999999914</v>
      </c>
      <c r="U420" s="311">
        <f t="shared" ca="1" si="176"/>
        <v>0</v>
      </c>
      <c r="V420" s="306">
        <f t="shared" ca="1" si="177"/>
        <v>1.1244040143076115</v>
      </c>
      <c r="W420" s="304">
        <f t="shared" ca="1" si="178"/>
        <v>73.080278312124619</v>
      </c>
      <c r="Y420" s="314" t="str">
        <f t="shared" ca="1" si="196"/>
        <v/>
      </c>
      <c r="Z420" s="315" t="str">
        <f t="shared" ca="1" si="197"/>
        <v/>
      </c>
      <c r="AA420" s="316" t="str">
        <f t="shared" ca="1" si="198"/>
        <v/>
      </c>
      <c r="AC420" s="310" t="e">
        <f t="shared" ca="1" si="199"/>
        <v>#N/A</v>
      </c>
      <c r="AD420" s="323" t="e">
        <f t="shared" ca="1" si="200"/>
        <v>#N/A</v>
      </c>
      <c r="AE420" s="324">
        <f t="shared" ca="1" si="179"/>
        <v>856.35322898718391</v>
      </c>
      <c r="AG420" s="306">
        <f t="shared" ca="1" si="201"/>
        <v>-20.689643833519238</v>
      </c>
      <c r="AH420" s="304">
        <f t="shared" ca="1" si="202"/>
        <v>-10.959371151698209</v>
      </c>
    </row>
    <row r="421" spans="1:34" x14ac:dyDescent="0.2">
      <c r="A421" s="347">
        <f t="shared" ca="1" si="180"/>
        <v>0.1</v>
      </c>
      <c r="B421" s="304">
        <f t="shared" ca="1" si="181"/>
        <v>5.6999999999999531</v>
      </c>
      <c r="D421" s="306">
        <f t="shared" ca="1" si="182"/>
        <v>-1.3652201473097454</v>
      </c>
      <c r="E421" s="307">
        <f t="shared" ca="1" si="183"/>
        <v>-20.387802793462185</v>
      </c>
      <c r="F421" s="304">
        <f t="shared" ca="1" si="184"/>
        <v>20.433461008740661</v>
      </c>
      <c r="G421" s="306">
        <f t="shared" ca="1" si="185"/>
        <v>20.446095021344991</v>
      </c>
      <c r="H421" s="307">
        <f t="shared" ca="1" si="186"/>
        <v>157.43649878827944</v>
      </c>
      <c r="I421" s="304">
        <f t="shared" ca="1" si="187"/>
        <v>158.7586027663817</v>
      </c>
      <c r="J421" s="306">
        <f t="shared" ca="1" si="188"/>
        <v>99.507111622172559</v>
      </c>
      <c r="K421" s="307">
        <f t="shared" ca="1" si="189"/>
        <v>872.19881787997917</v>
      </c>
      <c r="L421" s="304">
        <f t="shared" ca="1" si="174"/>
        <v>877.85673271589178</v>
      </c>
      <c r="M421" s="306">
        <f t="shared" ca="1" si="190"/>
        <v>1.4416503079533627</v>
      </c>
      <c r="N421" s="304">
        <f t="shared" ca="1" si="191"/>
        <v>82.600478179463096</v>
      </c>
      <c r="P421" s="310">
        <f t="shared" ca="1" si="192"/>
        <v>23</v>
      </c>
      <c r="Q421" s="304">
        <f t="shared" ca="1" si="193"/>
        <v>0</v>
      </c>
      <c r="R421" s="306">
        <f t="shared" ca="1" si="194"/>
        <v>0</v>
      </c>
      <c r="S421" s="307">
        <f t="shared" ca="1" si="195"/>
        <v>6.8519999999999914</v>
      </c>
      <c r="T421" s="304">
        <f t="shared" ca="1" si="175"/>
        <v>67.218119999999914</v>
      </c>
      <c r="U421" s="311">
        <f t="shared" ca="1" si="176"/>
        <v>0</v>
      </c>
      <c r="V421" s="306">
        <f t="shared" ca="1" si="177"/>
        <v>1.1226204125664323</v>
      </c>
      <c r="W421" s="304">
        <f t="shared" ca="1" si="178"/>
        <v>71.1252473515394</v>
      </c>
      <c r="Y421" s="314" t="str">
        <f t="shared" ca="1" si="196"/>
        <v/>
      </c>
      <c r="Z421" s="315" t="str">
        <f t="shared" ca="1" si="197"/>
        <v/>
      </c>
      <c r="AA421" s="316" t="str">
        <f t="shared" ca="1" si="198"/>
        <v/>
      </c>
      <c r="AC421" s="310" t="e">
        <f t="shared" ca="1" si="199"/>
        <v>#N/A</v>
      </c>
      <c r="AD421" s="323" t="e">
        <f t="shared" ca="1" si="200"/>
        <v>#N/A</v>
      </c>
      <c r="AE421" s="324">
        <f t="shared" ca="1" si="179"/>
        <v>872.19881787997917</v>
      </c>
      <c r="AG421" s="306">
        <f t="shared" ca="1" si="201"/>
        <v>-20.394840641346452</v>
      </c>
      <c r="AH421" s="304">
        <f t="shared" ca="1" si="202"/>
        <v>-10.665539741991347</v>
      </c>
    </row>
    <row r="422" spans="1:34" x14ac:dyDescent="0.2">
      <c r="A422" s="347">
        <f t="shared" ca="1" si="180"/>
        <v>0.1</v>
      </c>
      <c r="B422" s="304">
        <f t="shared" ca="1" si="181"/>
        <v>5.7999999999999527</v>
      </c>
      <c r="D422" s="306">
        <f t="shared" ca="1" si="182"/>
        <v>-1.3368403401207194</v>
      </c>
      <c r="E422" s="307">
        <f t="shared" ca="1" si="183"/>
        <v>-20.103773083213113</v>
      </c>
      <c r="F422" s="304">
        <f t="shared" ca="1" si="184"/>
        <v>20.148171983490169</v>
      </c>
      <c r="G422" s="306">
        <f t="shared" ca="1" si="185"/>
        <v>20.312410987332921</v>
      </c>
      <c r="H422" s="307">
        <f t="shared" ca="1" si="186"/>
        <v>155.42612147995811</v>
      </c>
      <c r="I422" s="304">
        <f t="shared" ca="1" si="187"/>
        <v>156.74780151064647</v>
      </c>
      <c r="J422" s="306">
        <f t="shared" ca="1" si="188"/>
        <v>101.54503692260646</v>
      </c>
      <c r="K422" s="307">
        <f t="shared" ca="1" si="189"/>
        <v>887.84194889339108</v>
      </c>
      <c r="L422" s="304">
        <f t="shared" ca="1" si="174"/>
        <v>893.63008047985295</v>
      </c>
      <c r="M422" s="306">
        <f t="shared" ca="1" si="190"/>
        <v>1.440844297446966</v>
      </c>
      <c r="N422" s="304">
        <f t="shared" ca="1" si="191"/>
        <v>82.55429717920336</v>
      </c>
      <c r="P422" s="310">
        <f t="shared" ca="1" si="192"/>
        <v>23</v>
      </c>
      <c r="Q422" s="304">
        <f t="shared" ca="1" si="193"/>
        <v>0</v>
      </c>
      <c r="R422" s="306">
        <f t="shared" ca="1" si="194"/>
        <v>0</v>
      </c>
      <c r="S422" s="307">
        <f t="shared" ca="1" si="195"/>
        <v>6.8519999999999914</v>
      </c>
      <c r="T422" s="304">
        <f t="shared" ca="1" si="175"/>
        <v>67.218119999999914</v>
      </c>
      <c r="U422" s="311">
        <f t="shared" ca="1" si="176"/>
        <v>0</v>
      </c>
      <c r="V422" s="306">
        <f t="shared" ca="1" si="177"/>
        <v>1.1208622542189408</v>
      </c>
      <c r="W422" s="304">
        <f t="shared" ca="1" si="178"/>
        <v>69.226357334760706</v>
      </c>
      <c r="Y422" s="314" t="str">
        <f t="shared" ca="1" si="196"/>
        <v/>
      </c>
      <c r="Z422" s="315" t="str">
        <f t="shared" ca="1" si="197"/>
        <v/>
      </c>
      <c r="AA422" s="316" t="str">
        <f t="shared" ca="1" si="198"/>
        <v/>
      </c>
      <c r="AC422" s="310" t="e">
        <f t="shared" ca="1" si="199"/>
        <v>#N/A</v>
      </c>
      <c r="AD422" s="323" t="e">
        <f t="shared" ca="1" si="200"/>
        <v>#N/A</v>
      </c>
      <c r="AE422" s="324">
        <f t="shared" ca="1" si="179"/>
        <v>887.84194889339108</v>
      </c>
      <c r="AG422" s="306">
        <f t="shared" ca="1" si="201"/>
        <v>-20.108521715672438</v>
      </c>
      <c r="AH422" s="304">
        <f t="shared" ca="1" si="202"/>
        <v>-10.380217068234018</v>
      </c>
    </row>
    <row r="423" spans="1:34" x14ac:dyDescent="0.2">
      <c r="A423" s="347">
        <f t="shared" ca="1" si="180"/>
        <v>0.1</v>
      </c>
      <c r="B423" s="304">
        <f t="shared" ca="1" si="181"/>
        <v>5.8999999999999524</v>
      </c>
      <c r="D423" s="306">
        <f t="shared" ca="1" si="182"/>
        <v>-1.3092245559685329</v>
      </c>
      <c r="E423" s="307">
        <f t="shared" ca="1" si="183"/>
        <v>-19.827899648023418</v>
      </c>
      <c r="F423" s="304">
        <f t="shared" ca="1" si="184"/>
        <v>19.871076301751703</v>
      </c>
      <c r="G423" s="306">
        <f t="shared" ca="1" si="185"/>
        <v>20.181488531736068</v>
      </c>
      <c r="H423" s="307">
        <f t="shared" ca="1" si="186"/>
        <v>153.44333151515576</v>
      </c>
      <c r="I423" s="304">
        <f t="shared" ca="1" si="187"/>
        <v>154.76481662776777</v>
      </c>
      <c r="J423" s="306">
        <f t="shared" ca="1" si="188"/>
        <v>103.56973189855991</v>
      </c>
      <c r="K423" s="307">
        <f t="shared" ca="1" si="189"/>
        <v>903.28542154314675</v>
      </c>
      <c r="L423" s="304">
        <f t="shared" ca="1" si="174"/>
        <v>909.20363073291776</v>
      </c>
      <c r="M423" s="306">
        <f t="shared" ca="1" si="190"/>
        <v>1.4400228934049506</v>
      </c>
      <c r="N423" s="304">
        <f t="shared" ca="1" si="191"/>
        <v>82.507234194320901</v>
      </c>
      <c r="P423" s="310">
        <f t="shared" ca="1" si="192"/>
        <v>23</v>
      </c>
      <c r="Q423" s="304">
        <f t="shared" ca="1" si="193"/>
        <v>0</v>
      </c>
      <c r="R423" s="306">
        <f t="shared" ca="1" si="194"/>
        <v>0</v>
      </c>
      <c r="S423" s="307">
        <f t="shared" ca="1" si="195"/>
        <v>6.8519999999999914</v>
      </c>
      <c r="T423" s="304">
        <f t="shared" ca="1" si="175"/>
        <v>67.218119999999914</v>
      </c>
      <c r="U423" s="311">
        <f t="shared" ca="1" si="176"/>
        <v>0</v>
      </c>
      <c r="V423" s="306">
        <f t="shared" ca="1" si="177"/>
        <v>1.119129117114771</v>
      </c>
      <c r="W423" s="304">
        <f t="shared" ca="1" si="178"/>
        <v>67.381548783413763</v>
      </c>
      <c r="Y423" s="314" t="str">
        <f t="shared" ca="1" si="196"/>
        <v/>
      </c>
      <c r="Z423" s="315" t="str">
        <f t="shared" ca="1" si="197"/>
        <v/>
      </c>
      <c r="AA423" s="316" t="str">
        <f t="shared" ca="1" si="198"/>
        <v/>
      </c>
      <c r="AC423" s="310" t="e">
        <f t="shared" ca="1" si="199"/>
        <v>#N/A</v>
      </c>
      <c r="AD423" s="323" t="e">
        <f t="shared" ca="1" si="200"/>
        <v>#N/A</v>
      </c>
      <c r="AE423" s="324">
        <f t="shared" ca="1" si="179"/>
        <v>903.28542154314675</v>
      </c>
      <c r="AG423" s="306">
        <f t="shared" ca="1" si="201"/>
        <v>-19.830370931425946</v>
      </c>
      <c r="AH423" s="304">
        <f t="shared" ca="1" si="202"/>
        <v>-10.10308776047297</v>
      </c>
    </row>
    <row r="424" spans="1:34" x14ac:dyDescent="0.2">
      <c r="A424" s="347">
        <f t="shared" ca="1" si="180"/>
        <v>0.1</v>
      </c>
      <c r="B424" s="304">
        <f t="shared" ca="1" si="181"/>
        <v>5.999999999999952</v>
      </c>
      <c r="D424" s="306">
        <f t="shared" ca="1" si="182"/>
        <v>-1.2823441438646774</v>
      </c>
      <c r="E424" s="307">
        <f t="shared" ca="1" si="183"/>
        <v>-19.559883279130929</v>
      </c>
      <c r="F424" s="304">
        <f t="shared" ca="1" si="184"/>
        <v>19.601873389972951</v>
      </c>
      <c r="G424" s="306">
        <f t="shared" ca="1" si="185"/>
        <v>20.053254117349599</v>
      </c>
      <c r="H424" s="307">
        <f t="shared" ca="1" si="186"/>
        <v>151.48734318724266</v>
      </c>
      <c r="I424" s="304">
        <f t="shared" ca="1" si="187"/>
        <v>152.80886147938028</v>
      </c>
      <c r="J424" s="306">
        <f t="shared" ca="1" si="188"/>
        <v>105.58146903101419</v>
      </c>
      <c r="K424" s="307">
        <f t="shared" ca="1" si="189"/>
        <v>918.53195527826665</v>
      </c>
      <c r="L424" s="304">
        <f t="shared" ca="1" si="174"/>
        <v>924.58012063317835</v>
      </c>
      <c r="M424" s="306">
        <f t="shared" ca="1" si="190"/>
        <v>1.4391857468851499</v>
      </c>
      <c r="N424" s="304">
        <f t="shared" ca="1" si="191"/>
        <v>82.459269231902255</v>
      </c>
      <c r="P424" s="310">
        <f t="shared" ca="1" si="192"/>
        <v>23</v>
      </c>
      <c r="Q424" s="304">
        <f t="shared" ca="1" si="193"/>
        <v>0</v>
      </c>
      <c r="R424" s="306">
        <f t="shared" ca="1" si="194"/>
        <v>0</v>
      </c>
      <c r="S424" s="307">
        <f t="shared" ca="1" si="195"/>
        <v>6.8519999999999914</v>
      </c>
      <c r="T424" s="304">
        <f t="shared" ca="1" si="175"/>
        <v>67.218119999999914</v>
      </c>
      <c r="U424" s="311">
        <f t="shared" ca="1" si="176"/>
        <v>0</v>
      </c>
      <c r="V424" s="306">
        <f t="shared" ca="1" si="177"/>
        <v>1.1174205916914777</v>
      </c>
      <c r="W424" s="304">
        <f t="shared" ca="1" si="178"/>
        <v>65.588857983556579</v>
      </c>
      <c r="Y424" s="314" t="str">
        <f t="shared" ca="1" si="196"/>
        <v/>
      </c>
      <c r="Z424" s="315" t="str">
        <f t="shared" ca="1" si="197"/>
        <v/>
      </c>
      <c r="AA424" s="316" t="str">
        <f t="shared" ca="1" si="198"/>
        <v/>
      </c>
      <c r="AC424" s="310">
        <f t="shared" ca="1" si="199"/>
        <v>5.999999999999952</v>
      </c>
      <c r="AD424" s="323">
        <f t="shared" ca="1" si="200"/>
        <v>105.58146903101419</v>
      </c>
      <c r="AE424" s="324">
        <f t="shared" ca="1" si="179"/>
        <v>918.53195527826665</v>
      </c>
      <c r="AG424" s="306">
        <f t="shared" ca="1" si="201"/>
        <v>-19.560086937016685</v>
      </c>
      <c r="AH424" s="304">
        <f t="shared" ca="1" si="202"/>
        <v>-9.8338512526873689</v>
      </c>
    </row>
    <row r="425" spans="1:34" x14ac:dyDescent="0.2">
      <c r="A425" s="347">
        <f t="shared" ca="1" si="180"/>
        <v>0.1</v>
      </c>
      <c r="B425" s="304">
        <f t="shared" ca="1" si="181"/>
        <v>6.0999999999999517</v>
      </c>
      <c r="D425" s="306">
        <f t="shared" ca="1" si="182"/>
        <v>-1.2561717783862512</v>
      </c>
      <c r="E425" s="307">
        <f t="shared" ca="1" si="183"/>
        <v>-19.299438680672232</v>
      </c>
      <c r="F425" s="304">
        <f t="shared" ca="1" si="184"/>
        <v>19.340276650705945</v>
      </c>
      <c r="G425" s="306">
        <f t="shared" ca="1" si="185"/>
        <v>19.927636939510975</v>
      </c>
      <c r="H425" s="307">
        <f t="shared" ca="1" si="186"/>
        <v>149.55739931917543</v>
      </c>
      <c r="I425" s="304">
        <f t="shared" ca="1" si="187"/>
        <v>150.87917816951503</v>
      </c>
      <c r="J425" s="306">
        <f t="shared" ca="1" si="188"/>
        <v>107.58051358385723</v>
      </c>
      <c r="K425" s="307">
        <f t="shared" ca="1" si="189"/>
        <v>933.58419240358751</v>
      </c>
      <c r="L425" s="304">
        <f t="shared" ca="1" si="174"/>
        <v>939.76220992803553</v>
      </c>
      <c r="M425" s="306">
        <f t="shared" ca="1" si="190"/>
        <v>1.4383324973358202</v>
      </c>
      <c r="N425" s="304">
        <f t="shared" ca="1" si="191"/>
        <v>82.410381633854229</v>
      </c>
      <c r="P425" s="310">
        <f t="shared" ca="1" si="192"/>
        <v>23</v>
      </c>
      <c r="Q425" s="304">
        <f t="shared" ca="1" si="193"/>
        <v>0</v>
      </c>
      <c r="R425" s="306">
        <f t="shared" ca="1" si="194"/>
        <v>0</v>
      </c>
      <c r="S425" s="307">
        <f t="shared" ca="1" si="195"/>
        <v>6.8519999999999914</v>
      </c>
      <c r="T425" s="304">
        <f t="shared" ca="1" si="175"/>
        <v>67.218119999999914</v>
      </c>
      <c r="U425" s="311">
        <f t="shared" ca="1" si="176"/>
        <v>0</v>
      </c>
      <c r="V425" s="306">
        <f t="shared" ca="1" si="177"/>
        <v>1.115736280497116</v>
      </c>
      <c r="W425" s="304">
        <f t="shared" ca="1" si="178"/>
        <v>63.846411682162831</v>
      </c>
      <c r="Y425" s="314" t="str">
        <f t="shared" ca="1" si="196"/>
        <v/>
      </c>
      <c r="Z425" s="315" t="str">
        <f t="shared" ca="1" si="197"/>
        <v/>
      </c>
      <c r="AA425" s="316" t="str">
        <f t="shared" ca="1" si="198"/>
        <v/>
      </c>
      <c r="AC425" s="310" t="e">
        <f t="shared" ca="1" si="199"/>
        <v>#N/A</v>
      </c>
      <c r="AD425" s="323" t="e">
        <f t="shared" ca="1" si="200"/>
        <v>#N/A</v>
      </c>
      <c r="AE425" s="324">
        <f t="shared" ca="1" si="179"/>
        <v>933.58419240358751</v>
      </c>
      <c r="AG425" s="306">
        <f t="shared" ca="1" si="201"/>
        <v>-19.297382325075883</v>
      </c>
      <c r="AH425" s="304">
        <f t="shared" ca="1" si="202"/>
        <v>-9.5722209549849193</v>
      </c>
    </row>
    <row r="426" spans="1:34" x14ac:dyDescent="0.2">
      <c r="A426" s="347">
        <f t="shared" ca="1" si="180"/>
        <v>0.1</v>
      </c>
      <c r="B426" s="304">
        <f t="shared" ca="1" si="181"/>
        <v>6.1999999999999513</v>
      </c>
      <c r="D426" s="306">
        <f t="shared" ca="1" si="182"/>
        <v>-1.2306813861540988</v>
      </c>
      <c r="E426" s="307">
        <f t="shared" ca="1" si="183"/>
        <v>-19.046293699168608</v>
      </c>
      <c r="F426" s="304">
        <f t="shared" ca="1" si="184"/>
        <v>19.086012688595176</v>
      </c>
      <c r="G426" s="306">
        <f t="shared" ca="1" si="185"/>
        <v>19.804568800895566</v>
      </c>
      <c r="H426" s="307">
        <f t="shared" ca="1" si="186"/>
        <v>147.65276994925858</v>
      </c>
      <c r="I426" s="304">
        <f t="shared" ca="1" si="187"/>
        <v>148.97503622781264</v>
      </c>
      <c r="J426" s="306">
        <f t="shared" ca="1" si="188"/>
        <v>109.56712387087755</v>
      </c>
      <c r="K426" s="307">
        <f t="shared" ca="1" si="189"/>
        <v>948.44470086700926</v>
      </c>
      <c r="L426" s="304">
        <f t="shared" ca="1" si="174"/>
        <v>954.75248375484568</v>
      </c>
      <c r="M426" s="306">
        <f t="shared" ca="1" si="190"/>
        <v>1.4374627721337796</v>
      </c>
      <c r="N426" s="304">
        <f t="shared" ca="1" si="191"/>
        <v>82.360550050441134</v>
      </c>
      <c r="P426" s="310">
        <f t="shared" ca="1" si="192"/>
        <v>23</v>
      </c>
      <c r="Q426" s="304">
        <f t="shared" ca="1" si="193"/>
        <v>0</v>
      </c>
      <c r="R426" s="306">
        <f t="shared" ca="1" si="194"/>
        <v>0</v>
      </c>
      <c r="S426" s="307">
        <f t="shared" ca="1" si="195"/>
        <v>6.8519999999999914</v>
      </c>
      <c r="T426" s="304">
        <f t="shared" ca="1" si="175"/>
        <v>67.218119999999914</v>
      </c>
      <c r="U426" s="311">
        <f t="shared" ca="1" si="176"/>
        <v>0</v>
      </c>
      <c r="V426" s="306">
        <f t="shared" ca="1" si="177"/>
        <v>1.1140757977355713</v>
      </c>
      <c r="W426" s="304">
        <f t="shared" ca="1" si="178"/>
        <v>62.152422125000726</v>
      </c>
      <c r="Y426" s="314" t="str">
        <f t="shared" ca="1" si="196"/>
        <v/>
      </c>
      <c r="Z426" s="315" t="str">
        <f t="shared" ca="1" si="197"/>
        <v/>
      </c>
      <c r="AA426" s="316" t="str">
        <f t="shared" ca="1" si="198"/>
        <v/>
      </c>
      <c r="AC426" s="310" t="e">
        <f t="shared" ca="1" si="199"/>
        <v>#N/A</v>
      </c>
      <c r="AD426" s="323" t="e">
        <f t="shared" ca="1" si="200"/>
        <v>#N/A</v>
      </c>
      <c r="AE426" s="324">
        <f t="shared" ca="1" si="179"/>
        <v>948.44470086700926</v>
      </c>
      <c r="AG426" s="306">
        <f t="shared" ca="1" si="201"/>
        <v>-19.041982856908497</v>
      </c>
      <c r="AH426" s="304">
        <f t="shared" ca="1" si="202"/>
        <v>-9.3179234795917854</v>
      </c>
    </row>
    <row r="427" spans="1:34" x14ac:dyDescent="0.2">
      <c r="A427" s="347">
        <f t="shared" ca="1" si="180"/>
        <v>0.1</v>
      </c>
      <c r="B427" s="304">
        <f t="shared" ca="1" si="181"/>
        <v>6.299999999999951</v>
      </c>
      <c r="D427" s="306">
        <f t="shared" ca="1" si="182"/>
        <v>-1.205848077043324</v>
      </c>
      <c r="E427" s="307">
        <f t="shared" ca="1" si="183"/>
        <v>-18.800188602610852</v>
      </c>
      <c r="F427" s="304">
        <f t="shared" ca="1" si="184"/>
        <v>18.838820586189787</v>
      </c>
      <c r="G427" s="306">
        <f t="shared" ca="1" si="185"/>
        <v>19.683983993191234</v>
      </c>
      <c r="H427" s="307">
        <f t="shared" ca="1" si="186"/>
        <v>145.7727510889975</v>
      </c>
      <c r="I427" s="304">
        <f t="shared" ca="1" si="187"/>
        <v>147.09573136532219</v>
      </c>
      <c r="J427" s="306">
        <f t="shared" ca="1" si="188"/>
        <v>111.5415515105819</v>
      </c>
      <c r="K427" s="307">
        <f t="shared" ca="1" si="189"/>
        <v>963.11597691892212</v>
      </c>
      <c r="L427" s="304">
        <f t="shared" ca="1" si="174"/>
        <v>969.55345531325793</v>
      </c>
      <c r="M427" s="306">
        <f t="shared" ca="1" si="190"/>
        <v>1.4365761860998933</v>
      </c>
      <c r="N427" s="304">
        <f t="shared" ca="1" si="191"/>
        <v>82.309752412524205</v>
      </c>
      <c r="P427" s="310">
        <f t="shared" ca="1" si="192"/>
        <v>23</v>
      </c>
      <c r="Q427" s="304">
        <f t="shared" ca="1" si="193"/>
        <v>0</v>
      </c>
      <c r="R427" s="306">
        <f t="shared" ca="1" si="194"/>
        <v>0</v>
      </c>
      <c r="S427" s="307">
        <f t="shared" ca="1" si="195"/>
        <v>6.8519999999999914</v>
      </c>
      <c r="T427" s="304">
        <f t="shared" ca="1" si="175"/>
        <v>67.218119999999914</v>
      </c>
      <c r="U427" s="311">
        <f t="shared" ca="1" si="176"/>
        <v>0</v>
      </c>
      <c r="V427" s="306">
        <f t="shared" ca="1" si="177"/>
        <v>1.1124387688333457</v>
      </c>
      <c r="W427" s="304">
        <f t="shared" ca="1" si="178"/>
        <v>60.505182410949658</v>
      </c>
      <c r="Y427" s="314" t="str">
        <f t="shared" ca="1" si="196"/>
        <v/>
      </c>
      <c r="Z427" s="315" t="str">
        <f t="shared" ca="1" si="197"/>
        <v/>
      </c>
      <c r="AA427" s="316" t="str">
        <f t="shared" ca="1" si="198"/>
        <v/>
      </c>
      <c r="AC427" s="310" t="e">
        <f t="shared" ca="1" si="199"/>
        <v>#N/A</v>
      </c>
      <c r="AD427" s="323" t="e">
        <f t="shared" ca="1" si="200"/>
        <v>#N/A</v>
      </c>
      <c r="AE427" s="324">
        <f t="shared" ca="1" si="179"/>
        <v>963.11597691892212</v>
      </c>
      <c r="AG427" s="306">
        <f t="shared" ca="1" si="201"/>
        <v>-18.793626736682107</v>
      </c>
      <c r="AH427" s="304">
        <f t="shared" ca="1" si="202"/>
        <v>-9.0706979166667843</v>
      </c>
    </row>
    <row r="428" spans="1:34" x14ac:dyDescent="0.2">
      <c r="A428" s="347">
        <f t="shared" ca="1" si="180"/>
        <v>0.1</v>
      </c>
      <c r="B428" s="304">
        <f t="shared" ca="1" si="181"/>
        <v>6.3999999999999506</v>
      </c>
      <c r="D428" s="306">
        <f t="shared" ca="1" si="182"/>
        <v>-1.1816480797803006</v>
      </c>
      <c r="E428" s="307">
        <f t="shared" ca="1" si="183"/>
        <v>-18.56087540551691</v>
      </c>
      <c r="F428" s="304">
        <f t="shared" ca="1" si="184"/>
        <v>18.598451225937364</v>
      </c>
      <c r="G428" s="306">
        <f t="shared" ca="1" si="185"/>
        <v>19.565819185213204</v>
      </c>
      <c r="H428" s="307">
        <f t="shared" ca="1" si="186"/>
        <v>143.9166635484458</v>
      </c>
      <c r="I428" s="304">
        <f t="shared" ca="1" si="187"/>
        <v>145.24058429827733</v>
      </c>
      <c r="J428" s="306">
        <f t="shared" ca="1" si="188"/>
        <v>113.50404166950212</v>
      </c>
      <c r="K428" s="307">
        <f t="shared" ca="1" si="189"/>
        <v>977.60044765079431</v>
      </c>
      <c r="L428" s="304">
        <f t="shared" ca="1" si="174"/>
        <v>984.16756841624556</v>
      </c>
      <c r="M428" s="306">
        <f t="shared" ca="1" si="190"/>
        <v>1.4356723409906316</v>
      </c>
      <c r="N428" s="304">
        <f t="shared" ca="1" si="191"/>
        <v>82.257965902429973</v>
      </c>
      <c r="P428" s="310">
        <f t="shared" ca="1" si="192"/>
        <v>23</v>
      </c>
      <c r="Q428" s="304">
        <f t="shared" ca="1" si="193"/>
        <v>0</v>
      </c>
      <c r="R428" s="306">
        <f t="shared" ca="1" si="194"/>
        <v>0</v>
      </c>
      <c r="S428" s="307">
        <f t="shared" ca="1" si="195"/>
        <v>6.8519999999999914</v>
      </c>
      <c r="T428" s="304">
        <f t="shared" ca="1" si="175"/>
        <v>67.218119999999914</v>
      </c>
      <c r="U428" s="311">
        <f t="shared" ca="1" si="176"/>
        <v>0</v>
      </c>
      <c r="V428" s="306">
        <f t="shared" ca="1" si="177"/>
        <v>1.1108248300266075</v>
      </c>
      <c r="W428" s="304">
        <f t="shared" ca="1" si="178"/>
        <v>58.903062139837544</v>
      </c>
      <c r="Y428" s="314" t="str">
        <f t="shared" ca="1" si="196"/>
        <v/>
      </c>
      <c r="Z428" s="315" t="str">
        <f t="shared" ca="1" si="197"/>
        <v/>
      </c>
      <c r="AA428" s="316" t="str">
        <f t="shared" ca="1" si="198"/>
        <v/>
      </c>
      <c r="AC428" s="310" t="e">
        <f t="shared" ca="1" si="199"/>
        <v>#N/A</v>
      </c>
      <c r="AD428" s="323" t="e">
        <f t="shared" ca="1" si="200"/>
        <v>#N/A</v>
      </c>
      <c r="AE428" s="324">
        <f t="shared" ca="1" si="179"/>
        <v>977.60044765079431</v>
      </c>
      <c r="AG428" s="306">
        <f t="shared" ca="1" si="201"/>
        <v>-18.552063931704527</v>
      </c>
      <c r="AH428" s="304">
        <f t="shared" ca="1" si="202"/>
        <v>-8.8302951562973924</v>
      </c>
    </row>
    <row r="429" spans="1:34" x14ac:dyDescent="0.2">
      <c r="A429" s="347">
        <f t="shared" ca="1" si="180"/>
        <v>0.1</v>
      </c>
      <c r="B429" s="304">
        <f t="shared" ca="1" si="181"/>
        <v>6.4999999999999503</v>
      </c>
      <c r="D429" s="306">
        <f t="shared" ca="1" si="182"/>
        <v>-1.1580586816085006</v>
      </c>
      <c r="E429" s="307">
        <f t="shared" ca="1" si="183"/>
        <v>-18.328117236632906</v>
      </c>
      <c r="F429" s="304">
        <f t="shared" ca="1" si="184"/>
        <v>18.364666655014705</v>
      </c>
      <c r="G429" s="306">
        <f t="shared" ca="1" si="185"/>
        <v>19.450013317052353</v>
      </c>
      <c r="H429" s="307">
        <f t="shared" ca="1" si="186"/>
        <v>142.0838518247825</v>
      </c>
      <c r="I429" s="304">
        <f t="shared" ca="1" si="187"/>
        <v>143.40893963557593</v>
      </c>
      <c r="J429" s="306">
        <f t="shared" ca="1" si="188"/>
        <v>115.4548332946154</v>
      </c>
      <c r="K429" s="307">
        <f t="shared" ca="1" si="189"/>
        <v>991.90047341945569</v>
      </c>
      <c r="L429" s="304">
        <f t="shared" ca="1" si="174"/>
        <v>998.59719992639066</v>
      </c>
      <c r="M429" s="306">
        <f t="shared" ca="1" si="190"/>
        <v>1.4347508249643288</v>
      </c>
      <c r="N429" s="304">
        <f t="shared" ca="1" si="191"/>
        <v>82.205166923369148</v>
      </c>
      <c r="P429" s="310">
        <f t="shared" ca="1" si="192"/>
        <v>23</v>
      </c>
      <c r="Q429" s="304">
        <f t="shared" ca="1" si="193"/>
        <v>0</v>
      </c>
      <c r="R429" s="306">
        <f t="shared" ca="1" si="194"/>
        <v>0</v>
      </c>
      <c r="S429" s="307">
        <f t="shared" ca="1" si="195"/>
        <v>6.8519999999999914</v>
      </c>
      <c r="T429" s="304">
        <f t="shared" ca="1" si="175"/>
        <v>67.218119999999914</v>
      </c>
      <c r="U429" s="311">
        <f t="shared" ca="1" si="176"/>
        <v>0</v>
      </c>
      <c r="V429" s="306">
        <f t="shared" ca="1" si="177"/>
        <v>1.1092336279673771</v>
      </c>
      <c r="W429" s="304">
        <f t="shared" ca="1" si="178"/>
        <v>57.344503332736096</v>
      </c>
      <c r="Y429" s="314" t="str">
        <f t="shared" ca="1" si="196"/>
        <v/>
      </c>
      <c r="Z429" s="315" t="str">
        <f t="shared" ca="1" si="197"/>
        <v/>
      </c>
      <c r="AA429" s="316" t="str">
        <f t="shared" ca="1" si="198"/>
        <v/>
      </c>
      <c r="AC429" s="310" t="e">
        <f t="shared" ca="1" si="199"/>
        <v>#N/A</v>
      </c>
      <c r="AD429" s="323" t="e">
        <f t="shared" ca="1" si="200"/>
        <v>#N/A</v>
      </c>
      <c r="AE429" s="324">
        <f t="shared" ca="1" si="179"/>
        <v>991.90047341945569</v>
      </c>
      <c r="AG429" s="306">
        <f t="shared" ca="1" si="201"/>
        <v>-18.317055535439209</v>
      </c>
      <c r="AH429" s="304">
        <f t="shared" ca="1" si="202"/>
        <v>-8.596477253332985</v>
      </c>
    </row>
    <row r="430" spans="1:34" x14ac:dyDescent="0.2">
      <c r="A430" s="347">
        <f t="shared" ca="1" si="180"/>
        <v>0.1</v>
      </c>
      <c r="B430" s="304">
        <f t="shared" ca="1" si="181"/>
        <v>6.5999999999999499</v>
      </c>
      <c r="D430" s="306">
        <f t="shared" ca="1" si="182"/>
        <v>-1.1350581717312394</v>
      </c>
      <c r="E430" s="307">
        <f t="shared" ca="1" si="183"/>
        <v>-18.101687746217486</v>
      </c>
      <c r="F430" s="304">
        <f t="shared" ca="1" si="184"/>
        <v>18.137239489921672</v>
      </c>
      <c r="G430" s="306">
        <f t="shared" ca="1" si="185"/>
        <v>19.336507499879229</v>
      </c>
      <c r="H430" s="307">
        <f t="shared" ca="1" si="186"/>
        <v>140.27368305016074</v>
      </c>
      <c r="I430" s="304">
        <f t="shared" ca="1" si="187"/>
        <v>141.60016482599812</v>
      </c>
      <c r="J430" s="306">
        <f t="shared" ca="1" si="188"/>
        <v>117.39415933546198</v>
      </c>
      <c r="K430" s="307">
        <f t="shared" ca="1" si="189"/>
        <v>1006.0183501632029</v>
      </c>
      <c r="L430" s="304">
        <f t="shared" ca="1" si="174"/>
        <v>1012.8446620835657</v>
      </c>
      <c r="M430" s="306">
        <f t="shared" ca="1" si="190"/>
        <v>1.4338112120206934</v>
      </c>
      <c r="N430" s="304">
        <f t="shared" ca="1" si="191"/>
        <v>82.151331067322985</v>
      </c>
      <c r="P430" s="310">
        <f t="shared" ca="1" si="192"/>
        <v>23</v>
      </c>
      <c r="Q430" s="304">
        <f t="shared" ca="1" si="193"/>
        <v>0</v>
      </c>
      <c r="R430" s="306">
        <f t="shared" ca="1" si="194"/>
        <v>0</v>
      </c>
      <c r="S430" s="307">
        <f t="shared" ca="1" si="195"/>
        <v>6.8519999999999914</v>
      </c>
      <c r="T430" s="304">
        <f t="shared" ca="1" si="175"/>
        <v>67.218119999999914</v>
      </c>
      <c r="U430" s="311">
        <f t="shared" ca="1" si="176"/>
        <v>0</v>
      </c>
      <c r="V430" s="306">
        <f t="shared" ca="1" si="177"/>
        <v>1.1076648193477991</v>
      </c>
      <c r="W430" s="304">
        <f t="shared" ca="1" si="178"/>
        <v>55.828016605341531</v>
      </c>
      <c r="Y430" s="314" t="str">
        <f t="shared" ca="1" si="196"/>
        <v/>
      </c>
      <c r="Z430" s="315" t="str">
        <f t="shared" ca="1" si="197"/>
        <v/>
      </c>
      <c r="AA430" s="316" t="str">
        <f t="shared" ca="1" si="198"/>
        <v/>
      </c>
      <c r="AC430" s="310" t="e">
        <f t="shared" ca="1" si="199"/>
        <v>#N/A</v>
      </c>
      <c r="AD430" s="323" t="e">
        <f t="shared" ca="1" si="200"/>
        <v>#N/A</v>
      </c>
      <c r="AE430" s="324">
        <f t="shared" ca="1" si="179"/>
        <v>1006.0183501632029</v>
      </c>
      <c r="AG430" s="306">
        <f t="shared" ca="1" si="201"/>
        <v>-18.088373170178137</v>
      </c>
      <c r="AH430" s="304">
        <f t="shared" ca="1" si="202"/>
        <v>-8.3690168319813445</v>
      </c>
    </row>
    <row r="431" spans="1:34" x14ac:dyDescent="0.2">
      <c r="A431" s="347">
        <f t="shared" ca="1" si="180"/>
        <v>0.1</v>
      </c>
      <c r="B431" s="304">
        <f t="shared" ca="1" si="181"/>
        <v>6.6999999999999496</v>
      </c>
      <c r="D431" s="306">
        <f t="shared" ca="1" si="182"/>
        <v>-1.1126257882628259</v>
      </c>
      <c r="E431" s="307">
        <f t="shared" ca="1" si="183"/>
        <v>-17.881370550094925</v>
      </c>
      <c r="F431" s="304">
        <f t="shared" ca="1" si="184"/>
        <v>17.91595235801071</v>
      </c>
      <c r="G431" s="306">
        <f t="shared" ca="1" si="185"/>
        <v>19.225244921052948</v>
      </c>
      <c r="H431" s="307">
        <f t="shared" ca="1" si="186"/>
        <v>138.48554599515126</v>
      </c>
      <c r="I431" s="304">
        <f t="shared" ca="1" si="187"/>
        <v>139.81364916148075</v>
      </c>
      <c r="J431" s="306">
        <f t="shared" ca="1" si="188"/>
        <v>119.32224695650859</v>
      </c>
      <c r="K431" s="307">
        <f t="shared" ca="1" si="189"/>
        <v>1019.9563116154685</v>
      </c>
      <c r="L431" s="304">
        <f t="shared" ca="1" si="174"/>
        <v>1026.9122047297815</v>
      </c>
      <c r="M431" s="306">
        <f t="shared" ca="1" si="190"/>
        <v>1.4328530614120123</v>
      </c>
      <c r="N431" s="304">
        <f t="shared" ca="1" si="191"/>
        <v>82.096433081307666</v>
      </c>
      <c r="P431" s="310">
        <f t="shared" ca="1" si="192"/>
        <v>23</v>
      </c>
      <c r="Q431" s="304">
        <f t="shared" ca="1" si="193"/>
        <v>0</v>
      </c>
      <c r="R431" s="306">
        <f t="shared" ca="1" si="194"/>
        <v>0</v>
      </c>
      <c r="S431" s="307">
        <f t="shared" ca="1" si="195"/>
        <v>6.8519999999999914</v>
      </c>
      <c r="T431" s="304">
        <f t="shared" ca="1" si="175"/>
        <v>67.218119999999914</v>
      </c>
      <c r="U431" s="311">
        <f t="shared" ca="1" si="176"/>
        <v>0</v>
      </c>
      <c r="V431" s="306">
        <f t="shared" ca="1" si="177"/>
        <v>1.1061180705415157</v>
      </c>
      <c r="W431" s="304">
        <f t="shared" ca="1" si="178"/>
        <v>54.352177576608121</v>
      </c>
      <c r="Y431" s="314" t="str">
        <f t="shared" ca="1" si="196"/>
        <v/>
      </c>
      <c r="Z431" s="315" t="str">
        <f t="shared" ca="1" si="197"/>
        <v/>
      </c>
      <c r="AA431" s="316" t="str">
        <f t="shared" ca="1" si="198"/>
        <v/>
      </c>
      <c r="AC431" s="310" t="e">
        <f t="shared" ca="1" si="199"/>
        <v>#N/A</v>
      </c>
      <c r="AD431" s="323" t="e">
        <f t="shared" ca="1" si="200"/>
        <v>#N/A</v>
      </c>
      <c r="AE431" s="324">
        <f t="shared" ca="1" si="179"/>
        <v>1019.9563116154685</v>
      </c>
      <c r="AG431" s="306">
        <f t="shared" ca="1" si="201"/>
        <v>-17.865798426537705</v>
      </c>
      <c r="AH431" s="304">
        <f t="shared" ca="1" si="202"/>
        <v>-8.1476965273411555</v>
      </c>
    </row>
    <row r="432" spans="1:34" x14ac:dyDescent="0.2">
      <c r="A432" s="347">
        <f t="shared" ca="1" si="180"/>
        <v>0.1</v>
      </c>
      <c r="B432" s="304">
        <f t="shared" ca="1" si="181"/>
        <v>6.7999999999999492</v>
      </c>
      <c r="D432" s="306">
        <f t="shared" ca="1" si="182"/>
        <v>-1.0907416684409954</v>
      </c>
      <c r="E432" s="307">
        <f t="shared" ca="1" si="183"/>
        <v>-17.666958707886288</v>
      </c>
      <c r="F432" s="304">
        <f t="shared" ca="1" si="184"/>
        <v>17.700597373349652</v>
      </c>
      <c r="G432" s="306">
        <f t="shared" ca="1" si="185"/>
        <v>19.116170754208849</v>
      </c>
      <c r="H432" s="307">
        <f t="shared" ca="1" si="186"/>
        <v>136.71885012436263</v>
      </c>
      <c r="I432" s="304">
        <f t="shared" ca="1" si="187"/>
        <v>138.04880283302714</v>
      </c>
      <c r="J432" s="306">
        <f t="shared" ca="1" si="188"/>
        <v>121.23931774027169</v>
      </c>
      <c r="K432" s="307">
        <f t="shared" ca="1" si="189"/>
        <v>1033.7165314214442</v>
      </c>
      <c r="L432" s="304">
        <f t="shared" ca="1" si="174"/>
        <v>1040.8020174366056</v>
      </c>
      <c r="M432" s="306">
        <f t="shared" ca="1" si="190"/>
        <v>1.4318759170243984</v>
      </c>
      <c r="N432" s="304">
        <f t="shared" ca="1" si="191"/>
        <v>82.040446831922495</v>
      </c>
      <c r="P432" s="310">
        <f t="shared" ca="1" si="192"/>
        <v>23</v>
      </c>
      <c r="Q432" s="304">
        <f t="shared" ca="1" si="193"/>
        <v>0</v>
      </c>
      <c r="R432" s="306">
        <f t="shared" ca="1" si="194"/>
        <v>0</v>
      </c>
      <c r="S432" s="307">
        <f t="shared" ca="1" si="195"/>
        <v>6.8519999999999914</v>
      </c>
      <c r="T432" s="304">
        <f t="shared" ca="1" si="175"/>
        <v>67.218119999999914</v>
      </c>
      <c r="U432" s="311">
        <f t="shared" ca="1" si="176"/>
        <v>0</v>
      </c>
      <c r="V432" s="306">
        <f t="shared" ca="1" si="177"/>
        <v>1.1045930572612226</v>
      </c>
      <c r="W432" s="304">
        <f t="shared" ca="1" si="178"/>
        <v>52.915623496207168</v>
      </c>
      <c r="Y432" s="314" t="str">
        <f t="shared" ca="1" si="196"/>
        <v/>
      </c>
      <c r="Z432" s="315" t="str">
        <f t="shared" ca="1" si="197"/>
        <v/>
      </c>
      <c r="AA432" s="316" t="str">
        <f t="shared" ca="1" si="198"/>
        <v/>
      </c>
      <c r="AC432" s="310" t="e">
        <f t="shared" ca="1" si="199"/>
        <v>#N/A</v>
      </c>
      <c r="AD432" s="323" t="e">
        <f t="shared" ca="1" si="200"/>
        <v>#N/A</v>
      </c>
      <c r="AE432" s="324">
        <f t="shared" ca="1" si="179"/>
        <v>1033.7165314214442</v>
      </c>
      <c r="AG432" s="306">
        <f t="shared" ca="1" si="201"/>
        <v>-17.649122337167572</v>
      </c>
      <c r="AH432" s="304">
        <f t="shared" ca="1" si="202"/>
        <v>-7.9323084612679784</v>
      </c>
    </row>
    <row r="433" spans="1:34" x14ac:dyDescent="0.2">
      <c r="A433" s="347">
        <f t="shared" ca="1" si="180"/>
        <v>0.1</v>
      </c>
      <c r="B433" s="304">
        <f t="shared" ca="1" si="181"/>
        <v>6.8999999999999488</v>
      </c>
      <c r="D433" s="306">
        <f t="shared" ca="1" si="182"/>
        <v>-1.0693868018729433</v>
      </c>
      <c r="E433" s="307">
        <f t="shared" ca="1" si="183"/>
        <v>-17.458254233031894</v>
      </c>
      <c r="F433" s="304">
        <f t="shared" ca="1" si="184"/>
        <v>17.490975644520123</v>
      </c>
      <c r="G433" s="306">
        <f t="shared" ca="1" si="185"/>
        <v>19.009232074021554</v>
      </c>
      <c r="H433" s="307">
        <f t="shared" ca="1" si="186"/>
        <v>134.97302470105944</v>
      </c>
      <c r="I433" s="304">
        <f t="shared" ca="1" si="187"/>
        <v>136.3050560360723</v>
      </c>
      <c r="J433" s="306">
        <f t="shared" ca="1" si="188"/>
        <v>123.14558788168321</v>
      </c>
      <c r="K433" s="307">
        <f t="shared" ca="1" si="189"/>
        <v>1047.3011251627154</v>
      </c>
      <c r="L433" s="304">
        <f t="shared" ca="1" si="174"/>
        <v>1054.5162315402333</v>
      </c>
      <c r="M433" s="306">
        <f t="shared" ca="1" si="190"/>
        <v>1.4308793067273124</v>
      </c>
      <c r="N433" s="304">
        <f t="shared" ca="1" si="191"/>
        <v>81.983345268080186</v>
      </c>
      <c r="P433" s="310">
        <f t="shared" ca="1" si="192"/>
        <v>23</v>
      </c>
      <c r="Q433" s="304">
        <f t="shared" ca="1" si="193"/>
        <v>0</v>
      </c>
      <c r="R433" s="306">
        <f t="shared" ca="1" si="194"/>
        <v>0</v>
      </c>
      <c r="S433" s="307">
        <f t="shared" ca="1" si="195"/>
        <v>6.8519999999999914</v>
      </c>
      <c r="T433" s="304">
        <f t="shared" ca="1" si="175"/>
        <v>67.218119999999914</v>
      </c>
      <c r="U433" s="311">
        <f t="shared" ca="1" si="176"/>
        <v>0</v>
      </c>
      <c r="V433" s="306">
        <f t="shared" ca="1" si="177"/>
        <v>1.1030894642315423</v>
      </c>
      <c r="W433" s="304">
        <f t="shared" ca="1" si="178"/>
        <v>51.517050075666766</v>
      </c>
      <c r="Y433" s="314" t="str">
        <f t="shared" ca="1" si="196"/>
        <v/>
      </c>
      <c r="Z433" s="315" t="str">
        <f t="shared" ca="1" si="197"/>
        <v/>
      </c>
      <c r="AA433" s="316" t="str">
        <f t="shared" ca="1" si="198"/>
        <v/>
      </c>
      <c r="AC433" s="310" t="e">
        <f t="shared" ca="1" si="199"/>
        <v>#N/A</v>
      </c>
      <c r="AD433" s="323" t="e">
        <f t="shared" ca="1" si="200"/>
        <v>#N/A</v>
      </c>
      <c r="AE433" s="324">
        <f t="shared" ca="1" si="179"/>
        <v>1047.3011251627154</v>
      </c>
      <c r="AG433" s="306">
        <f t="shared" ca="1" si="201"/>
        <v>-17.438144882266776</v>
      </c>
      <c r="AH433" s="304">
        <f t="shared" ca="1" si="202"/>
        <v>-7.7226537501761872</v>
      </c>
    </row>
    <row r="434" spans="1:34" x14ac:dyDescent="0.2">
      <c r="A434" s="347">
        <f t="shared" ca="1" si="180"/>
        <v>0.1</v>
      </c>
      <c r="B434" s="304">
        <f t="shared" ca="1" si="181"/>
        <v>6.9999999999999485</v>
      </c>
      <c r="D434" s="306">
        <f t="shared" ca="1" si="182"/>
        <v>-1.0485429866050937</v>
      </c>
      <c r="E434" s="307">
        <f t="shared" ca="1" si="183"/>
        <v>-17.255067632404952</v>
      </c>
      <c r="F434" s="304">
        <f t="shared" ca="1" si="184"/>
        <v>17.286896812141496</v>
      </c>
      <c r="G434" s="306">
        <f t="shared" ca="1" si="185"/>
        <v>18.904377775361045</v>
      </c>
      <c r="H434" s="307">
        <f t="shared" ca="1" si="186"/>
        <v>133.24751793781894</v>
      </c>
      <c r="I434" s="304">
        <f t="shared" ca="1" si="187"/>
        <v>134.58185812234481</v>
      </c>
      <c r="J434" s="306">
        <f t="shared" ca="1" si="188"/>
        <v>125.04126837415234</v>
      </c>
      <c r="K434" s="307">
        <f t="shared" ca="1" si="189"/>
        <v>1060.7121522946593</v>
      </c>
      <c r="L434" s="304">
        <f t="shared" ca="1" si="174"/>
        <v>1068.0569220889799</v>
      </c>
      <c r="M434" s="306">
        <f t="shared" ca="1" si="190"/>
        <v>1.4298627416894705</v>
      </c>
      <c r="N434" s="304">
        <f t="shared" ca="1" si="191"/>
        <v>81.925100381811291</v>
      </c>
      <c r="P434" s="310">
        <f t="shared" ca="1" si="192"/>
        <v>23</v>
      </c>
      <c r="Q434" s="304">
        <f t="shared" ca="1" si="193"/>
        <v>0</v>
      </c>
      <c r="R434" s="306">
        <f t="shared" ca="1" si="194"/>
        <v>0</v>
      </c>
      <c r="S434" s="307">
        <f t="shared" ca="1" si="195"/>
        <v>6.8519999999999914</v>
      </c>
      <c r="T434" s="304">
        <f t="shared" ca="1" si="175"/>
        <v>67.218119999999914</v>
      </c>
      <c r="U434" s="311">
        <f t="shared" ca="1" si="176"/>
        <v>0</v>
      </c>
      <c r="V434" s="306">
        <f t="shared" ca="1" si="177"/>
        <v>1.1016069848763987</v>
      </c>
      <c r="W434" s="304">
        <f t="shared" ca="1" si="178"/>
        <v>50.155208509219371</v>
      </c>
      <c r="Y434" s="314" t="str">
        <f t="shared" ca="1" si="196"/>
        <v/>
      </c>
      <c r="Z434" s="315" t="str">
        <f t="shared" ca="1" si="197"/>
        <v/>
      </c>
      <c r="AA434" s="316" t="str">
        <f t="shared" ca="1" si="198"/>
        <v/>
      </c>
      <c r="AC434" s="310">
        <f t="shared" ca="1" si="199"/>
        <v>6.9999999999999485</v>
      </c>
      <c r="AD434" s="323">
        <f t="shared" ca="1" si="200"/>
        <v>125.04126837415234</v>
      </c>
      <c r="AE434" s="324">
        <f t="shared" ca="1" si="179"/>
        <v>1060.7121522946593</v>
      </c>
      <c r="AG434" s="306">
        <f t="shared" ca="1" si="201"/>
        <v>-17.232674524688111</v>
      </c>
      <c r="AH434" s="304">
        <f t="shared" ca="1" si="202"/>
        <v>-7.5185420425666711</v>
      </c>
    </row>
    <row r="435" spans="1:34" x14ac:dyDescent="0.2">
      <c r="A435" s="347">
        <f t="shared" ca="1" si="180"/>
        <v>0.1</v>
      </c>
      <c r="B435" s="304">
        <f t="shared" ca="1" si="181"/>
        <v>7.0999999999999481</v>
      </c>
      <c r="D435" s="306">
        <f t="shared" ca="1" si="182"/>
        <v>-1.0281927878229904</v>
      </c>
      <c r="E435" s="307">
        <f t="shared" ca="1" si="183"/>
        <v>-17.057217473486155</v>
      </c>
      <c r="F435" s="304">
        <f t="shared" ca="1" si="184"/>
        <v>17.088178614080924</v>
      </c>
      <c r="G435" s="306">
        <f t="shared" ca="1" si="185"/>
        <v>18.801558496578746</v>
      </c>
      <c r="H435" s="307">
        <f t="shared" ca="1" si="186"/>
        <v>131.54179619047034</v>
      </c>
      <c r="I435" s="304">
        <f t="shared" ca="1" si="187"/>
        <v>132.87867679547199</v>
      </c>
      <c r="J435" s="306">
        <f t="shared" ca="1" si="188"/>
        <v>126.92656518774933</v>
      </c>
      <c r="K435" s="307">
        <f t="shared" ca="1" si="189"/>
        <v>1073.9516180010737</v>
      </c>
      <c r="L435" s="304">
        <f t="shared" ca="1" si="174"/>
        <v>1081.4261097076787</v>
      </c>
      <c r="M435" s="306">
        <f t="shared" ca="1" si="190"/>
        <v>1.4288257156591251</v>
      </c>
      <c r="N435" s="304">
        <f t="shared" ca="1" si="191"/>
        <v>81.865683167027285</v>
      </c>
      <c r="P435" s="310">
        <f t="shared" ca="1" si="192"/>
        <v>23</v>
      </c>
      <c r="Q435" s="304">
        <f t="shared" ca="1" si="193"/>
        <v>0</v>
      </c>
      <c r="R435" s="306">
        <f t="shared" ca="1" si="194"/>
        <v>0</v>
      </c>
      <c r="S435" s="307">
        <f t="shared" ca="1" si="195"/>
        <v>6.8519999999999914</v>
      </c>
      <c r="T435" s="304">
        <f t="shared" ca="1" si="175"/>
        <v>67.218119999999914</v>
      </c>
      <c r="U435" s="311">
        <f t="shared" ca="1" si="176"/>
        <v>0</v>
      </c>
      <c r="V435" s="306">
        <f t="shared" ca="1" si="177"/>
        <v>1.10014532102014</v>
      </c>
      <c r="W435" s="304">
        <f t="shared" ca="1" si="178"/>
        <v>48.828902671457385</v>
      </c>
      <c r="Y435" s="314" t="str">
        <f t="shared" ca="1" si="196"/>
        <v/>
      </c>
      <c r="Z435" s="315" t="str">
        <f t="shared" ca="1" si="197"/>
        <v/>
      </c>
      <c r="AA435" s="316" t="str">
        <f t="shared" ca="1" si="198"/>
        <v/>
      </c>
      <c r="AC435" s="310" t="e">
        <f t="shared" ca="1" si="199"/>
        <v>#N/A</v>
      </c>
      <c r="AD435" s="323" t="e">
        <f t="shared" ca="1" si="200"/>
        <v>#N/A</v>
      </c>
      <c r="AE435" s="324">
        <f t="shared" ca="1" si="179"/>
        <v>1073.9516180010737</v>
      </c>
      <c r="AG435" s="306">
        <f t="shared" ca="1" si="201"/>
        <v>-17.032527772582032</v>
      </c>
      <c r="AH435" s="304">
        <f t="shared" ca="1" si="202"/>
        <v>-7.3197910842410145</v>
      </c>
    </row>
    <row r="436" spans="1:34" x14ac:dyDescent="0.2">
      <c r="A436" s="347">
        <f t="shared" ca="1" si="180"/>
        <v>0.1</v>
      </c>
      <c r="B436" s="304">
        <f t="shared" ca="1" si="181"/>
        <v>7.1999999999999478</v>
      </c>
      <c r="D436" s="306">
        <f t="shared" ca="1" si="182"/>
        <v>-1.0083194990025321</v>
      </c>
      <c r="E436" s="307">
        <f t="shared" ca="1" si="183"/>
        <v>-16.864529977225214</v>
      </c>
      <c r="F436" s="304">
        <f t="shared" ca="1" si="184"/>
        <v>16.894646476466932</v>
      </c>
      <c r="G436" s="306">
        <f t="shared" ca="1" si="185"/>
        <v>18.700726546678492</v>
      </c>
      <c r="H436" s="307">
        <f t="shared" ca="1" si="186"/>
        <v>129.85534319274782</v>
      </c>
      <c r="I436" s="304">
        <f t="shared" ca="1" si="187"/>
        <v>131.19499734776463</v>
      </c>
      <c r="J436" s="306">
        <f t="shared" ca="1" si="188"/>
        <v>128.80167943991219</v>
      </c>
      <c r="K436" s="307">
        <f t="shared" ca="1" si="189"/>
        <v>1087.0214749702345</v>
      </c>
      <c r="L436" s="304">
        <f t="shared" ca="1" si="174"/>
        <v>1094.6257623832021</v>
      </c>
      <c r="M436" s="306">
        <f t="shared" ca="1" si="190"/>
        <v>1.4277677042065604</v>
      </c>
      <c r="N436" s="304">
        <f t="shared" ca="1" si="191"/>
        <v>81.805063576118826</v>
      </c>
      <c r="P436" s="310">
        <f t="shared" ca="1" si="192"/>
        <v>23</v>
      </c>
      <c r="Q436" s="304">
        <f t="shared" ca="1" si="193"/>
        <v>0</v>
      </c>
      <c r="R436" s="306">
        <f t="shared" ca="1" si="194"/>
        <v>0</v>
      </c>
      <c r="S436" s="307">
        <f t="shared" ca="1" si="195"/>
        <v>6.8519999999999914</v>
      </c>
      <c r="T436" s="304">
        <f t="shared" ca="1" si="175"/>
        <v>67.218119999999914</v>
      </c>
      <c r="U436" s="311">
        <f t="shared" ca="1" si="176"/>
        <v>0</v>
      </c>
      <c r="V436" s="306">
        <f t="shared" ca="1" si="177"/>
        <v>1.0987041826016903</v>
      </c>
      <c r="W436" s="304">
        <f t="shared" ca="1" si="178"/>
        <v>47.536986479877577</v>
      </c>
      <c r="Y436" s="314" t="str">
        <f t="shared" ca="1" si="196"/>
        <v/>
      </c>
      <c r="Z436" s="315" t="str">
        <f t="shared" ca="1" si="197"/>
        <v/>
      </c>
      <c r="AA436" s="316" t="str">
        <f t="shared" ca="1" si="198"/>
        <v/>
      </c>
      <c r="AC436" s="310" t="e">
        <f t="shared" ca="1" si="199"/>
        <v>#N/A</v>
      </c>
      <c r="AD436" s="323" t="e">
        <f t="shared" ca="1" si="200"/>
        <v>#N/A</v>
      </c>
      <c r="AE436" s="324">
        <f t="shared" ca="1" si="179"/>
        <v>1087.0214749702345</v>
      </c>
      <c r="AG436" s="306">
        <f t="shared" ca="1" si="201"/>
        <v>-16.837528767687232</v>
      </c>
      <c r="AH436" s="304">
        <f t="shared" ca="1" si="202"/>
        <v>-7.1262263093195335</v>
      </c>
    </row>
    <row r="437" spans="1:34" x14ac:dyDescent="0.2">
      <c r="A437" s="347">
        <f t="shared" ca="1" si="180"/>
        <v>0.1</v>
      </c>
      <c r="B437" s="304">
        <f t="shared" ca="1" si="181"/>
        <v>7.2999999999999474</v>
      </c>
      <c r="D437" s="306">
        <f t="shared" ca="1" si="182"/>
        <v>-0.98890710534744408</v>
      </c>
      <c r="E437" s="307">
        <f t="shared" ca="1" si="183"/>
        <v>-16.67683863485761</v>
      </c>
      <c r="F437" s="304">
        <f t="shared" ca="1" si="184"/>
        <v>16.706133128766993</v>
      </c>
      <c r="G437" s="306">
        <f t="shared" ca="1" si="185"/>
        <v>18.601835836143749</v>
      </c>
      <c r="H437" s="307">
        <f t="shared" ca="1" si="186"/>
        <v>128.18765932926206</v>
      </c>
      <c r="I437" s="304">
        <f t="shared" ca="1" si="187"/>
        <v>129.53032193579148</v>
      </c>
      <c r="J437" s="306">
        <f t="shared" ca="1" si="188"/>
        <v>130.6668075590533</v>
      </c>
      <c r="K437" s="307">
        <f t="shared" ca="1" si="189"/>
        <v>1099.9236250963349</v>
      </c>
      <c r="L437" s="304">
        <f t="shared" ca="1" si="174"/>
        <v>1107.6577971750742</v>
      </c>
      <c r="M437" s="306">
        <f t="shared" ca="1" si="190"/>
        <v>1.4266881639265001</v>
      </c>
      <c r="N437" s="304">
        <f t="shared" ca="1" si="191"/>
        <v>81.743210474256998</v>
      </c>
      <c r="P437" s="310">
        <f t="shared" ca="1" si="192"/>
        <v>23</v>
      </c>
      <c r="Q437" s="304">
        <f t="shared" ca="1" si="193"/>
        <v>0</v>
      </c>
      <c r="R437" s="306">
        <f t="shared" ca="1" si="194"/>
        <v>0</v>
      </c>
      <c r="S437" s="307">
        <f t="shared" ca="1" si="195"/>
        <v>6.8519999999999914</v>
      </c>
      <c r="T437" s="304">
        <f t="shared" ca="1" si="175"/>
        <v>67.218119999999914</v>
      </c>
      <c r="U437" s="311">
        <f t="shared" ca="1" si="176"/>
        <v>0</v>
      </c>
      <c r="V437" s="306">
        <f t="shared" ca="1" si="177"/>
        <v>1.0972832874010594</v>
      </c>
      <c r="W437" s="304">
        <f t="shared" ca="1" si="178"/>
        <v>46.278361411293503</v>
      </c>
      <c r="Y437" s="314" t="str">
        <f t="shared" ca="1" si="196"/>
        <v/>
      </c>
      <c r="Z437" s="315" t="str">
        <f t="shared" ca="1" si="197"/>
        <v/>
      </c>
      <c r="AA437" s="316" t="str">
        <f t="shared" ca="1" si="198"/>
        <v/>
      </c>
      <c r="AC437" s="310" t="e">
        <f t="shared" ca="1" si="199"/>
        <v>#N/A</v>
      </c>
      <c r="AD437" s="323" t="e">
        <f t="shared" ca="1" si="200"/>
        <v>#N/A</v>
      </c>
      <c r="AE437" s="324">
        <f t="shared" ca="1" si="179"/>
        <v>1099.9236250963349</v>
      </c>
      <c r="AG437" s="306">
        <f t="shared" ca="1" si="201"/>
        <v>-16.64750889751738</v>
      </c>
      <c r="AH437" s="304">
        <f t="shared" ca="1" si="202"/>
        <v>-6.9376804553236484</v>
      </c>
    </row>
    <row r="438" spans="1:34" x14ac:dyDescent="0.2">
      <c r="A438" s="347">
        <f t="shared" ca="1" si="180"/>
        <v>0.1</v>
      </c>
      <c r="B438" s="304">
        <f t="shared" ca="1" si="181"/>
        <v>7.3999999999999471</v>
      </c>
      <c r="D438" s="306">
        <f t="shared" ca="1" si="182"/>
        <v>-0.96994024936025902</v>
      </c>
      <c r="E438" s="307">
        <f t="shared" ca="1" si="183"/>
        <v>-16.493983847075363</v>
      </c>
      <c r="F438" s="304">
        <f t="shared" ca="1" si="184"/>
        <v>16.522478241320581</v>
      </c>
      <c r="G438" s="306">
        <f t="shared" ca="1" si="185"/>
        <v>18.504841811207722</v>
      </c>
      <c r="H438" s="307">
        <f t="shared" ca="1" si="186"/>
        <v>126.53826094455452</v>
      </c>
      <c r="I438" s="304">
        <f t="shared" ca="1" si="187"/>
        <v>127.88416889251771</v>
      </c>
      <c r="J438" s="306">
        <f t="shared" ca="1" si="188"/>
        <v>132.52214144142087</v>
      </c>
      <c r="K438" s="307">
        <f t="shared" ca="1" si="189"/>
        <v>1112.6599211100258</v>
      </c>
      <c r="L438" s="304">
        <f t="shared" ca="1" si="174"/>
        <v>1120.52408185491</v>
      </c>
      <c r="M438" s="306">
        <f t="shared" ca="1" si="190"/>
        <v>1.4255865315979592</v>
      </c>
      <c r="N438" s="304">
        <f t="shared" ca="1" si="191"/>
        <v>81.680091591256442</v>
      </c>
      <c r="P438" s="310">
        <f t="shared" ca="1" si="192"/>
        <v>23</v>
      </c>
      <c r="Q438" s="304">
        <f t="shared" ca="1" si="193"/>
        <v>0</v>
      </c>
      <c r="R438" s="306">
        <f t="shared" ca="1" si="194"/>
        <v>0</v>
      </c>
      <c r="S438" s="307">
        <f t="shared" ca="1" si="195"/>
        <v>6.8519999999999914</v>
      </c>
      <c r="T438" s="304">
        <f t="shared" ca="1" si="175"/>
        <v>67.218119999999914</v>
      </c>
      <c r="U438" s="311">
        <f t="shared" ca="1" si="176"/>
        <v>0</v>
      </c>
      <c r="V438" s="306">
        <f t="shared" ca="1" si="177"/>
        <v>1.0958823607775785</v>
      </c>
      <c r="W438" s="304">
        <f t="shared" ca="1" si="178"/>
        <v>45.051974161920946</v>
      </c>
      <c r="Y438" s="314" t="str">
        <f t="shared" ca="1" si="196"/>
        <v/>
      </c>
      <c r="Z438" s="315" t="str">
        <f t="shared" ca="1" si="197"/>
        <v/>
      </c>
      <c r="AA438" s="316" t="str">
        <f t="shared" ca="1" si="198"/>
        <v/>
      </c>
      <c r="AC438" s="310" t="e">
        <f t="shared" ca="1" si="199"/>
        <v>#N/A</v>
      </c>
      <c r="AD438" s="323" t="e">
        <f t="shared" ca="1" si="200"/>
        <v>#N/A</v>
      </c>
      <c r="AE438" s="324">
        <f t="shared" ca="1" si="179"/>
        <v>1112.6599211100258</v>
      </c>
      <c r="AG438" s="306">
        <f t="shared" ca="1" si="201"/>
        <v>-16.462306429823709</v>
      </c>
      <c r="AH438" s="304">
        <f t="shared" ca="1" si="202"/>
        <v>-6.7539932007141799</v>
      </c>
    </row>
    <row r="439" spans="1:34" x14ac:dyDescent="0.2">
      <c r="A439" s="347">
        <f t="shared" ca="1" si="180"/>
        <v>0.1</v>
      </c>
      <c r="B439" s="304">
        <f t="shared" ca="1" si="181"/>
        <v>7.4999999999999467</v>
      </c>
      <c r="D439" s="306">
        <f t="shared" ca="1" si="182"/>
        <v>-0.95140419840560608</v>
      </c>
      <c r="E439" s="307">
        <f t="shared" ca="1" si="183"/>
        <v>-16.315812584070727</v>
      </c>
      <c r="F439" s="304">
        <f t="shared" ca="1" si="184"/>
        <v>16.343528083839931</v>
      </c>
      <c r="G439" s="306">
        <f t="shared" ca="1" si="185"/>
        <v>18.409701391367161</v>
      </c>
      <c r="H439" s="307">
        <f t="shared" ca="1" si="186"/>
        <v>124.90667968614746</v>
      </c>
      <c r="I439" s="304">
        <f t="shared" ca="1" si="187"/>
        <v>126.25607207392898</v>
      </c>
      <c r="J439" s="306">
        <f t="shared" ca="1" si="188"/>
        <v>134.36786860154962</v>
      </c>
      <c r="K439" s="307">
        <f t="shared" ca="1" si="189"/>
        <v>1125.232168141561</v>
      </c>
      <c r="L439" s="304">
        <f t="shared" ca="1" si="174"/>
        <v>1133.2264364782006</v>
      </c>
      <c r="M439" s="306">
        <f t="shared" ca="1" si="190"/>
        <v>1.4244622232989004</v>
      </c>
      <c r="N439" s="304">
        <f t="shared" ca="1" si="191"/>
        <v>81.615673470848833</v>
      </c>
      <c r="P439" s="310">
        <f t="shared" ca="1" si="192"/>
        <v>23</v>
      </c>
      <c r="Q439" s="304">
        <f t="shared" ca="1" si="193"/>
        <v>0</v>
      </c>
      <c r="R439" s="306">
        <f t="shared" ca="1" si="194"/>
        <v>0</v>
      </c>
      <c r="S439" s="307">
        <f t="shared" ca="1" si="195"/>
        <v>6.8519999999999914</v>
      </c>
      <c r="T439" s="304">
        <f t="shared" ca="1" si="175"/>
        <v>67.218119999999914</v>
      </c>
      <c r="U439" s="311">
        <f t="shared" ca="1" si="176"/>
        <v>0</v>
      </c>
      <c r="V439" s="306">
        <f t="shared" ca="1" si="177"/>
        <v>1.0945011354192684</v>
      </c>
      <c r="W439" s="304">
        <f t="shared" ca="1" si="178"/>
        <v>43.856814441694759</v>
      </c>
      <c r="Y439" s="314" t="str">
        <f t="shared" ca="1" si="196"/>
        <v/>
      </c>
      <c r="Z439" s="315" t="str">
        <f t="shared" ca="1" si="197"/>
        <v/>
      </c>
      <c r="AA439" s="316" t="str">
        <f t="shared" ca="1" si="198"/>
        <v/>
      </c>
      <c r="AC439" s="310" t="e">
        <f t="shared" ca="1" si="199"/>
        <v>#N/A</v>
      </c>
      <c r="AD439" s="323" t="e">
        <f t="shared" ca="1" si="200"/>
        <v>#N/A</v>
      </c>
      <c r="AE439" s="324">
        <f t="shared" ca="1" si="179"/>
        <v>1125.232168141561</v>
      </c>
      <c r="AG439" s="306">
        <f t="shared" ca="1" si="201"/>
        <v>-16.281766167832735</v>
      </c>
      <c r="AH439" s="304">
        <f t="shared" ca="1" si="202"/>
        <v>-6.5750108233976947</v>
      </c>
    </row>
    <row r="440" spans="1:34" x14ac:dyDescent="0.2">
      <c r="A440" s="347">
        <f t="shared" ca="1" si="180"/>
        <v>0.1</v>
      </c>
      <c r="B440" s="304">
        <f t="shared" ca="1" si="181"/>
        <v>7.5999999999999464</v>
      </c>
      <c r="D440" s="306">
        <f t="shared" ca="1" si="182"/>
        <v>-0.93328481413499897</v>
      </c>
      <c r="E440" s="307">
        <f t="shared" ca="1" si="183"/>
        <v>-16.14217806508098</v>
      </c>
      <c r="F440" s="304">
        <f t="shared" ca="1" si="184"/>
        <v>16.169135203500417</v>
      </c>
      <c r="G440" s="306">
        <f t="shared" ca="1" si="185"/>
        <v>18.31637290995366</v>
      </c>
      <c r="H440" s="307">
        <f t="shared" ca="1" si="186"/>
        <v>123.29246187963936</v>
      </c>
      <c r="I440" s="304">
        <f t="shared" ca="1" si="187"/>
        <v>124.64558023820504</v>
      </c>
      <c r="J440" s="306">
        <f t="shared" ca="1" si="188"/>
        <v>136.20417231661565</v>
      </c>
      <c r="K440" s="307">
        <f t="shared" ca="1" si="189"/>
        <v>1137.6421252198504</v>
      </c>
      <c r="L440" s="304">
        <f t="shared" ca="1" si="174"/>
        <v>1145.7666348917621</v>
      </c>
      <c r="M440" s="306">
        <f t="shared" ca="1" si="190"/>
        <v>1.4233146334728657</v>
      </c>
      <c r="N440" s="304">
        <f t="shared" ca="1" si="191"/>
        <v>81.549921417204899</v>
      </c>
      <c r="P440" s="310">
        <f t="shared" ca="1" si="192"/>
        <v>23</v>
      </c>
      <c r="Q440" s="304">
        <f t="shared" ca="1" si="193"/>
        <v>0</v>
      </c>
      <c r="R440" s="306">
        <f t="shared" ca="1" si="194"/>
        <v>0</v>
      </c>
      <c r="S440" s="307">
        <f t="shared" ca="1" si="195"/>
        <v>6.8519999999999914</v>
      </c>
      <c r="T440" s="304">
        <f t="shared" ca="1" si="175"/>
        <v>67.218119999999914</v>
      </c>
      <c r="U440" s="311">
        <f t="shared" ca="1" si="176"/>
        <v>0</v>
      </c>
      <c r="V440" s="306">
        <f t="shared" ca="1" si="177"/>
        <v>1.0931393511027834</v>
      </c>
      <c r="W440" s="304">
        <f t="shared" ca="1" si="178"/>
        <v>42.691912894072487</v>
      </c>
      <c r="Y440" s="314" t="str">
        <f t="shared" ca="1" si="196"/>
        <v/>
      </c>
      <c r="Z440" s="315" t="str">
        <f t="shared" ca="1" si="197"/>
        <v/>
      </c>
      <c r="AA440" s="316" t="str">
        <f t="shared" ca="1" si="198"/>
        <v/>
      </c>
      <c r="AC440" s="310" t="e">
        <f t="shared" ca="1" si="199"/>
        <v>#N/A</v>
      </c>
      <c r="AD440" s="323" t="e">
        <f t="shared" ca="1" si="200"/>
        <v>#N/A</v>
      </c>
      <c r="AE440" s="324">
        <f t="shared" ca="1" si="179"/>
        <v>1137.6421252198504</v>
      </c>
      <c r="AG440" s="306">
        <f t="shared" ca="1" si="201"/>
        <v>-16.105739124867338</v>
      </c>
      <c r="AH440" s="304">
        <f t="shared" ca="1" si="202"/>
        <v>-6.4005858788229446</v>
      </c>
    </row>
    <row r="441" spans="1:34" x14ac:dyDescent="0.2">
      <c r="A441" s="347">
        <f t="shared" ca="1" si="180"/>
        <v>0.1</v>
      </c>
      <c r="B441" s="304">
        <f t="shared" ca="1" si="181"/>
        <v>7.699999999999946</v>
      </c>
      <c r="D441" s="306">
        <f t="shared" ca="1" si="182"/>
        <v>-0.9155685236520219</v>
      </c>
      <c r="E441" s="307">
        <f t="shared" ca="1" si="183"/>
        <v>-15.972939456163878</v>
      </c>
      <c r="F441" s="304">
        <f t="shared" ca="1" si="184"/>
        <v>15.99915812134436</v>
      </c>
      <c r="G441" s="306">
        <f t="shared" ca="1" si="185"/>
        <v>18.224816057588459</v>
      </c>
      <c r="H441" s="307">
        <f t="shared" ca="1" si="186"/>
        <v>121.69516793402298</v>
      </c>
      <c r="I441" s="304">
        <f t="shared" ca="1" si="187"/>
        <v>123.05225645563347</v>
      </c>
      <c r="J441" s="306">
        <f t="shared" ca="1" si="188"/>
        <v>138.03123176499275</v>
      </c>
      <c r="K441" s="307">
        <f t="shared" ca="1" si="189"/>
        <v>1149.8915067105336</v>
      </c>
      <c r="L441" s="304">
        <f t="shared" ca="1" si="174"/>
        <v>1158.1464061799709</v>
      </c>
      <c r="M441" s="306">
        <f t="shared" ca="1" si="190"/>
        <v>1.4221431339445509</v>
      </c>
      <c r="N441" s="304">
        <f t="shared" ca="1" si="191"/>
        <v>81.48279943853089</v>
      </c>
      <c r="P441" s="310">
        <f t="shared" ca="1" si="192"/>
        <v>23</v>
      </c>
      <c r="Q441" s="304">
        <f t="shared" ca="1" si="193"/>
        <v>0</v>
      </c>
      <c r="R441" s="306">
        <f t="shared" ca="1" si="194"/>
        <v>0</v>
      </c>
      <c r="S441" s="307">
        <f t="shared" ca="1" si="195"/>
        <v>6.8519999999999914</v>
      </c>
      <c r="T441" s="304">
        <f t="shared" ca="1" si="175"/>
        <v>67.218119999999914</v>
      </c>
      <c r="U441" s="311">
        <f t="shared" ca="1" si="176"/>
        <v>0</v>
      </c>
      <c r="V441" s="306">
        <f t="shared" ca="1" si="177"/>
        <v>1.0917967544634004</v>
      </c>
      <c r="W441" s="304">
        <f t="shared" ca="1" si="178"/>
        <v>41.556339133215587</v>
      </c>
      <c r="Y441" s="314" t="str">
        <f t="shared" ca="1" si="196"/>
        <v/>
      </c>
      <c r="Z441" s="315" t="str">
        <f t="shared" ca="1" si="197"/>
        <v/>
      </c>
      <c r="AA441" s="316" t="str">
        <f t="shared" ca="1" si="198"/>
        <v/>
      </c>
      <c r="AC441" s="310" t="e">
        <f t="shared" ca="1" si="199"/>
        <v>#N/A</v>
      </c>
      <c r="AD441" s="323" t="e">
        <f t="shared" ca="1" si="200"/>
        <v>#N/A</v>
      </c>
      <c r="AE441" s="324">
        <f t="shared" ca="1" si="179"/>
        <v>1149.8915067105336</v>
      </c>
      <c r="AG441" s="306">
        <f t="shared" ca="1" si="201"/>
        <v>-15.934082217059924</v>
      </c>
      <c r="AH441" s="304">
        <f t="shared" ca="1" si="202"/>
        <v>-6.2305768963912058</v>
      </c>
    </row>
    <row r="442" spans="1:34" x14ac:dyDescent="0.2">
      <c r="A442" s="347">
        <f t="shared" ca="1" si="180"/>
        <v>0.1</v>
      </c>
      <c r="B442" s="304">
        <f t="shared" ca="1" si="181"/>
        <v>7.7999999999999456</v>
      </c>
      <c r="D442" s="306">
        <f t="shared" ca="1" si="182"/>
        <v>-0.89824229230561758</v>
      </c>
      <c r="E442" s="307">
        <f t="shared" ca="1" si="183"/>
        <v>-15.807961585025637</v>
      </c>
      <c r="F442" s="304">
        <f t="shared" ca="1" si="184"/>
        <v>15.833461045814737</v>
      </c>
      <c r="G442" s="306">
        <f t="shared" ca="1" si="185"/>
        <v>18.134991828357897</v>
      </c>
      <c r="H442" s="307">
        <f t="shared" ca="1" si="186"/>
        <v>120.11437177552041</v>
      </c>
      <c r="I442" s="304">
        <f t="shared" ca="1" si="187"/>
        <v>121.47567754757551</v>
      </c>
      <c r="J442" s="306">
        <f t="shared" ca="1" si="188"/>
        <v>139.84922215929006</v>
      </c>
      <c r="K442" s="307">
        <f t="shared" ca="1" si="189"/>
        <v>1161.9819836960107</v>
      </c>
      <c r="L442" s="304">
        <f t="shared" ca="1" si="174"/>
        <v>1170.3674360527443</v>
      </c>
      <c r="M442" s="306">
        <f t="shared" ca="1" si="190"/>
        <v>1.4209470728810734</v>
      </c>
      <c r="N442" s="304">
        <f t="shared" ca="1" si="191"/>
        <v>81.414270187553697</v>
      </c>
      <c r="P442" s="310">
        <f t="shared" ca="1" si="192"/>
        <v>23</v>
      </c>
      <c r="Q442" s="304">
        <f t="shared" ca="1" si="193"/>
        <v>0</v>
      </c>
      <c r="R442" s="306">
        <f t="shared" ca="1" si="194"/>
        <v>0</v>
      </c>
      <c r="S442" s="307">
        <f t="shared" ca="1" si="195"/>
        <v>6.8519999999999914</v>
      </c>
      <c r="T442" s="304">
        <f t="shared" ca="1" si="175"/>
        <v>67.218119999999914</v>
      </c>
      <c r="U442" s="311">
        <f t="shared" ca="1" si="176"/>
        <v>0</v>
      </c>
      <c r="V442" s="306">
        <f t="shared" ca="1" si="177"/>
        <v>1.0904730987745592</v>
      </c>
      <c r="W442" s="304">
        <f t="shared" ca="1" si="178"/>
        <v>40.449199891026687</v>
      </c>
      <c r="Y442" s="314" t="str">
        <f t="shared" ca="1" si="196"/>
        <v/>
      </c>
      <c r="Z442" s="315" t="str">
        <f t="shared" ca="1" si="197"/>
        <v/>
      </c>
      <c r="AA442" s="316" t="str">
        <f t="shared" ca="1" si="198"/>
        <v/>
      </c>
      <c r="AC442" s="310" t="e">
        <f t="shared" ca="1" si="199"/>
        <v>#N/A</v>
      </c>
      <c r="AD442" s="323" t="e">
        <f t="shared" ca="1" si="200"/>
        <v>#N/A</v>
      </c>
      <c r="AE442" s="324">
        <f t="shared" ca="1" si="179"/>
        <v>1161.9819836960107</v>
      </c>
      <c r="AG442" s="306">
        <f t="shared" ca="1" si="201"/>
        <v>-15.766657972958075</v>
      </c>
      <c r="AH442" s="304">
        <f t="shared" ca="1" si="202"/>
        <v>-6.0648480929970283</v>
      </c>
    </row>
    <row r="443" spans="1:34" x14ac:dyDescent="0.2">
      <c r="A443" s="347">
        <f t="shared" ca="1" si="180"/>
        <v>0.1</v>
      </c>
      <c r="B443" s="304">
        <f t="shared" ca="1" si="181"/>
        <v>7.8999999999999453</v>
      </c>
      <c r="D443" s="306">
        <f t="shared" ca="1" si="182"/>
        <v>-0.88129359800731455</v>
      </c>
      <c r="E443" s="307">
        <f t="shared" ca="1" si="183"/>
        <v>-15.647114671808582</v>
      </c>
      <c r="F443" s="304">
        <f t="shared" ca="1" si="184"/>
        <v>15.671913602321066</v>
      </c>
      <c r="G443" s="306">
        <f t="shared" ca="1" si="185"/>
        <v>18.046862468557165</v>
      </c>
      <c r="H443" s="307">
        <f t="shared" ca="1" si="186"/>
        <v>118.54966030833955</v>
      </c>
      <c r="I443" s="304">
        <f t="shared" ca="1" si="187"/>
        <v>119.91543355290726</v>
      </c>
      <c r="J443" s="306">
        <f t="shared" ca="1" si="188"/>
        <v>141.65831487413581</v>
      </c>
      <c r="K443" s="307">
        <f t="shared" ca="1" si="189"/>
        <v>1173.9151853002038</v>
      </c>
      <c r="L443" s="304">
        <f t="shared" ca="1" si="174"/>
        <v>1182.43136817804</v>
      </c>
      <c r="M443" s="306">
        <f t="shared" ca="1" si="190"/>
        <v>1.4197257736954418</v>
      </c>
      <c r="N443" s="304">
        <f t="shared" ca="1" si="191"/>
        <v>81.344294898694244</v>
      </c>
      <c r="P443" s="310">
        <f t="shared" ca="1" si="192"/>
        <v>23</v>
      </c>
      <c r="Q443" s="304">
        <f t="shared" ca="1" si="193"/>
        <v>0</v>
      </c>
      <c r="R443" s="306">
        <f t="shared" ca="1" si="194"/>
        <v>0</v>
      </c>
      <c r="S443" s="307">
        <f t="shared" ca="1" si="195"/>
        <v>6.8519999999999914</v>
      </c>
      <c r="T443" s="304">
        <f t="shared" ca="1" si="175"/>
        <v>67.218119999999914</v>
      </c>
      <c r="U443" s="311">
        <f t="shared" ca="1" si="176"/>
        <v>0</v>
      </c>
      <c r="V443" s="306">
        <f t="shared" ca="1" si="177"/>
        <v>1.0891681437364875</v>
      </c>
      <c r="W443" s="304">
        <f t="shared" ca="1" si="178"/>
        <v>39.369637267060625</v>
      </c>
      <c r="Y443" s="314" t="str">
        <f t="shared" ca="1" si="196"/>
        <v/>
      </c>
      <c r="Z443" s="315" t="str">
        <f t="shared" ca="1" si="197"/>
        <v/>
      </c>
      <c r="AA443" s="316" t="str">
        <f t="shared" ca="1" si="198"/>
        <v/>
      </c>
      <c r="AC443" s="310" t="e">
        <f t="shared" ca="1" si="199"/>
        <v>#N/A</v>
      </c>
      <c r="AD443" s="323" t="e">
        <f t="shared" ca="1" si="200"/>
        <v>#N/A</v>
      </c>
      <c r="AE443" s="324">
        <f t="shared" ca="1" si="179"/>
        <v>1173.9151853002038</v>
      </c>
      <c r="AG443" s="306">
        <f t="shared" ca="1" si="201"/>
        <v>-15.603334258907312</v>
      </c>
      <c r="AH443" s="304">
        <f t="shared" ca="1" si="202"/>
        <v>-5.9032691026016835</v>
      </c>
    </row>
    <row r="444" spans="1:34" x14ac:dyDescent="0.2">
      <c r="A444" s="347">
        <f t="shared" ca="1" si="180"/>
        <v>0.1</v>
      </c>
      <c r="B444" s="304">
        <f t="shared" ca="1" si="181"/>
        <v>7.9999999999999449</v>
      </c>
      <c r="D444" s="306">
        <f t="shared" ca="1" si="182"/>
        <v>-0.86471040697575285</v>
      </c>
      <c r="E444" s="307">
        <f t="shared" ca="1" si="183"/>
        <v>-15.490274074824111</v>
      </c>
      <c r="F444" s="304">
        <f t="shared" ca="1" si="184"/>
        <v>15.514390577818393</v>
      </c>
      <c r="G444" s="306">
        <f t="shared" ca="1" si="185"/>
        <v>17.960391427859591</v>
      </c>
      <c r="H444" s="307">
        <f t="shared" ca="1" si="186"/>
        <v>117.00063290085714</v>
      </c>
      <c r="I444" s="304">
        <f t="shared" ca="1" si="187"/>
        <v>118.37112722046312</v>
      </c>
      <c r="J444" s="306">
        <f t="shared" ca="1" si="188"/>
        <v>143.45867756895666</v>
      </c>
      <c r="K444" s="307">
        <f t="shared" ca="1" si="189"/>
        <v>1185.6926999606637</v>
      </c>
      <c r="L444" s="304">
        <f t="shared" ca="1" si="174"/>
        <v>1194.339805461512</v>
      </c>
      <c r="M444" s="306">
        <f t="shared" ca="1" si="190"/>
        <v>1.4184785338884844</v>
      </c>
      <c r="N444" s="304">
        <f t="shared" ca="1" si="191"/>
        <v>81.27283332171487</v>
      </c>
      <c r="P444" s="310">
        <f t="shared" ca="1" si="192"/>
        <v>23</v>
      </c>
      <c r="Q444" s="304">
        <f t="shared" ca="1" si="193"/>
        <v>0</v>
      </c>
      <c r="R444" s="306">
        <f t="shared" ca="1" si="194"/>
        <v>0</v>
      </c>
      <c r="S444" s="307">
        <f t="shared" ca="1" si="195"/>
        <v>6.8519999999999914</v>
      </c>
      <c r="T444" s="304">
        <f t="shared" ca="1" si="175"/>
        <v>67.218119999999914</v>
      </c>
      <c r="U444" s="311">
        <f t="shared" ca="1" si="176"/>
        <v>0</v>
      </c>
      <c r="V444" s="306">
        <f t="shared" ca="1" si="177"/>
        <v>1.087881655273466</v>
      </c>
      <c r="W444" s="304">
        <f t="shared" ca="1" si="178"/>
        <v>38.316827074823706</v>
      </c>
      <c r="Y444" s="314" t="str">
        <f t="shared" ca="1" si="196"/>
        <v/>
      </c>
      <c r="Z444" s="315" t="str">
        <f t="shared" ca="1" si="197"/>
        <v/>
      </c>
      <c r="AA444" s="316" t="str">
        <f t="shared" ca="1" si="198"/>
        <v/>
      </c>
      <c r="AC444" s="310">
        <f t="shared" ca="1" si="199"/>
        <v>7.9999999999999449</v>
      </c>
      <c r="AD444" s="323">
        <f t="shared" ca="1" si="200"/>
        <v>143.45867756895666</v>
      </c>
      <c r="AE444" s="324">
        <f t="shared" ca="1" si="179"/>
        <v>1185.6926999606637</v>
      </c>
      <c r="AG444" s="306">
        <f t="shared" ca="1" si="201"/>
        <v>-15.443984019172976</v>
      </c>
      <c r="AH444" s="304">
        <f t="shared" ca="1" si="202"/>
        <v>-5.7457147208202972</v>
      </c>
    </row>
    <row r="445" spans="1:34" x14ac:dyDescent="0.2">
      <c r="A445" s="347">
        <f t="shared" ca="1" si="180"/>
        <v>0.1</v>
      </c>
      <c r="B445" s="304">
        <f t="shared" ca="1" si="181"/>
        <v>8.0999999999999446</v>
      </c>
      <c r="D445" s="306">
        <f t="shared" ca="1" si="182"/>
        <v>-0.84848115081873565</v>
      </c>
      <c r="E445" s="307">
        <f t="shared" ca="1" si="183"/>
        <v>-15.337320050288596</v>
      </c>
      <c r="F445" s="304">
        <f t="shared" ca="1" si="184"/>
        <v>15.360771679452803</v>
      </c>
      <c r="G445" s="306">
        <f t="shared" ca="1" si="185"/>
        <v>17.875543312777719</v>
      </c>
      <c r="H445" s="307">
        <f t="shared" ca="1" si="186"/>
        <v>115.46690089582827</v>
      </c>
      <c r="I445" s="304">
        <f t="shared" ca="1" si="187"/>
        <v>116.84237352610576</v>
      </c>
      <c r="J445" s="306">
        <f t="shared" ca="1" si="188"/>
        <v>145.25047430598852</v>
      </c>
      <c r="K445" s="307">
        <f t="shared" ca="1" si="189"/>
        <v>1197.316076650498</v>
      </c>
      <c r="L445" s="304">
        <f t="shared" ca="1" si="174"/>
        <v>1206.0943112758039</v>
      </c>
      <c r="M445" s="306">
        <f t="shared" ca="1" si="190"/>
        <v>1.417204623825209</v>
      </c>
      <c r="N445" s="304">
        <f t="shared" ca="1" si="191"/>
        <v>81.199843651609953</v>
      </c>
      <c r="P445" s="310">
        <f t="shared" ca="1" si="192"/>
        <v>23</v>
      </c>
      <c r="Q445" s="304">
        <f t="shared" ca="1" si="193"/>
        <v>0</v>
      </c>
      <c r="R445" s="306">
        <f t="shared" ca="1" si="194"/>
        <v>0</v>
      </c>
      <c r="S445" s="307">
        <f t="shared" ca="1" si="195"/>
        <v>6.8519999999999914</v>
      </c>
      <c r="T445" s="304">
        <f t="shared" ca="1" si="175"/>
        <v>67.218119999999914</v>
      </c>
      <c r="U445" s="311">
        <f t="shared" ca="1" si="176"/>
        <v>0</v>
      </c>
      <c r="V445" s="306">
        <f t="shared" ca="1" si="177"/>
        <v>1.0866134053393213</v>
      </c>
      <c r="W445" s="304">
        <f t="shared" ca="1" si="178"/>
        <v>37.289977278433653</v>
      </c>
      <c r="Y445" s="314" t="str">
        <f t="shared" ca="1" si="196"/>
        <v/>
      </c>
      <c r="Z445" s="315" t="str">
        <f t="shared" ca="1" si="197"/>
        <v/>
      </c>
      <c r="AA445" s="316" t="str">
        <f t="shared" ca="1" si="198"/>
        <v/>
      </c>
      <c r="AC445" s="310" t="e">
        <f t="shared" ca="1" si="199"/>
        <v>#N/A</v>
      </c>
      <c r="AD445" s="323" t="e">
        <f t="shared" ca="1" si="200"/>
        <v>#N/A</v>
      </c>
      <c r="AE445" s="324">
        <f t="shared" ca="1" si="179"/>
        <v>1197.316076650498</v>
      </c>
      <c r="AG445" s="306">
        <f t="shared" ca="1" si="201"/>
        <v>-15.288485029834089</v>
      </c>
      <c r="AH445" s="304">
        <f t="shared" ca="1" si="202"/>
        <v>-5.5920646635761466</v>
      </c>
    </row>
    <row r="446" spans="1:34" x14ac:dyDescent="0.2">
      <c r="A446" s="347">
        <f t="shared" ca="1" si="180"/>
        <v>0.1</v>
      </c>
      <c r="B446" s="304">
        <f t="shared" ca="1" si="181"/>
        <v>8.1999999999999442</v>
      </c>
      <c r="D446" s="306">
        <f t="shared" ca="1" si="182"/>
        <v>-0.83259470486940934</v>
      </c>
      <c r="E446" s="307">
        <f t="shared" ca="1" si="183"/>
        <v>-15.188137525186562</v>
      </c>
      <c r="F446" s="304">
        <f t="shared" ca="1" si="184"/>
        <v>15.210941306393789</v>
      </c>
      <c r="G446" s="306">
        <f t="shared" ca="1" si="185"/>
        <v>17.792283842290779</v>
      </c>
      <c r="H446" s="307">
        <f t="shared" ca="1" si="186"/>
        <v>113.94808714330962</v>
      </c>
      <c r="I446" s="304">
        <f t="shared" ca="1" si="187"/>
        <v>115.32879921313638</v>
      </c>
      <c r="J446" s="306">
        <f t="shared" ca="1" si="188"/>
        <v>147.03386566374195</v>
      </c>
      <c r="K446" s="307">
        <f t="shared" ca="1" si="189"/>
        <v>1208.7868260524549</v>
      </c>
      <c r="L446" s="304">
        <f t="shared" ca="1" si="174"/>
        <v>1217.6964106418279</v>
      </c>
      <c r="M446" s="306">
        <f t="shared" ca="1" si="190"/>
        <v>1.415903285441273</v>
      </c>
      <c r="N446" s="304">
        <f t="shared" ca="1" si="191"/>
        <v>81.125282454492037</v>
      </c>
      <c r="P446" s="310">
        <f t="shared" ca="1" si="192"/>
        <v>23</v>
      </c>
      <c r="Q446" s="304">
        <f t="shared" ca="1" si="193"/>
        <v>0</v>
      </c>
      <c r="R446" s="306">
        <f t="shared" ca="1" si="194"/>
        <v>0</v>
      </c>
      <c r="S446" s="307">
        <f t="shared" ca="1" si="195"/>
        <v>6.8519999999999914</v>
      </c>
      <c r="T446" s="304">
        <f t="shared" ca="1" si="175"/>
        <v>67.218119999999914</v>
      </c>
      <c r="U446" s="311">
        <f t="shared" ca="1" si="176"/>
        <v>0</v>
      </c>
      <c r="V446" s="306">
        <f t="shared" ca="1" si="177"/>
        <v>1.0853631717307548</v>
      </c>
      <c r="W446" s="304">
        <f t="shared" ca="1" si="178"/>
        <v>36.288326514034679</v>
      </c>
      <c r="Y446" s="314" t="str">
        <f t="shared" ca="1" si="196"/>
        <v/>
      </c>
      <c r="Z446" s="315" t="str">
        <f t="shared" ca="1" si="197"/>
        <v/>
      </c>
      <c r="AA446" s="316" t="str">
        <f t="shared" ca="1" si="198"/>
        <v/>
      </c>
      <c r="AC446" s="310" t="e">
        <f t="shared" ca="1" si="199"/>
        <v>#N/A</v>
      </c>
      <c r="AD446" s="323" t="e">
        <f t="shared" ca="1" si="200"/>
        <v>#N/A</v>
      </c>
      <c r="AE446" s="324">
        <f t="shared" ca="1" si="179"/>
        <v>1208.7868260524549</v>
      </c>
      <c r="AG446" s="306">
        <f t="shared" ca="1" si="201"/>
        <v>-15.13671966554714</v>
      </c>
      <c r="AH446" s="304">
        <f t="shared" ca="1" si="202"/>
        <v>-5.4422033389424547</v>
      </c>
    </row>
    <row r="447" spans="1:34" x14ac:dyDescent="0.2">
      <c r="A447" s="347">
        <f t="shared" ca="1" si="180"/>
        <v>0.1</v>
      </c>
      <c r="B447" s="304">
        <f t="shared" ca="1" si="181"/>
        <v>8.2999999999999439</v>
      </c>
      <c r="D447" s="306">
        <f t="shared" ca="1" si="182"/>
        <v>-0.81704036769901667</v>
      </c>
      <c r="E447" s="307">
        <f t="shared" ca="1" si="183"/>
        <v>-15.042615882446633</v>
      </c>
      <c r="F447" s="304">
        <f t="shared" ca="1" si="184"/>
        <v>15.06478833403528</v>
      </c>
      <c r="G447" s="306">
        <f t="shared" ca="1" si="185"/>
        <v>17.710579805520876</v>
      </c>
      <c r="H447" s="307">
        <f t="shared" ca="1" si="186"/>
        <v>112.44382555506496</v>
      </c>
      <c r="I447" s="304">
        <f t="shared" ca="1" si="187"/>
        <v>113.83004235484411</v>
      </c>
      <c r="J447" s="306">
        <f t="shared" ca="1" si="188"/>
        <v>148.80900884613254</v>
      </c>
      <c r="K447" s="307">
        <f t="shared" ca="1" si="189"/>
        <v>1220.1064216873735</v>
      </c>
      <c r="L447" s="304">
        <f t="shared" ca="1" si="174"/>
        <v>1229.1475913642491</v>
      </c>
      <c r="M447" s="306">
        <f t="shared" ca="1" si="190"/>
        <v>1.4145737308749082</v>
      </c>
      <c r="N447" s="304">
        <f t="shared" ca="1" si="191"/>
        <v>81.049104589206991</v>
      </c>
      <c r="P447" s="310">
        <f t="shared" ca="1" si="192"/>
        <v>23</v>
      </c>
      <c r="Q447" s="304">
        <f t="shared" ca="1" si="193"/>
        <v>0</v>
      </c>
      <c r="R447" s="306">
        <f t="shared" ca="1" si="194"/>
        <v>0</v>
      </c>
      <c r="S447" s="307">
        <f t="shared" ca="1" si="195"/>
        <v>6.8519999999999914</v>
      </c>
      <c r="T447" s="304">
        <f t="shared" ca="1" si="175"/>
        <v>67.218119999999914</v>
      </c>
      <c r="U447" s="311">
        <f t="shared" ca="1" si="176"/>
        <v>0</v>
      </c>
      <c r="V447" s="306">
        <f t="shared" ca="1" si="177"/>
        <v>1.0841307379081293</v>
      </c>
      <c r="W447" s="304">
        <f t="shared" ca="1" si="178"/>
        <v>35.311142690751282</v>
      </c>
      <c r="Y447" s="314" t="str">
        <f t="shared" ca="1" si="196"/>
        <v/>
      </c>
      <c r="Z447" s="315" t="str">
        <f t="shared" ca="1" si="197"/>
        <v/>
      </c>
      <c r="AA447" s="316" t="str">
        <f t="shared" ca="1" si="198"/>
        <v/>
      </c>
      <c r="AC447" s="310" t="e">
        <f t="shared" ca="1" si="199"/>
        <v>#N/A</v>
      </c>
      <c r="AD447" s="323" t="e">
        <f t="shared" ca="1" si="200"/>
        <v>#N/A</v>
      </c>
      <c r="AE447" s="324">
        <f t="shared" ca="1" si="179"/>
        <v>1220.1064216873735</v>
      </c>
      <c r="AG447" s="306">
        <f t="shared" ca="1" si="201"/>
        <v>-14.98857467833739</v>
      </c>
      <c r="AH447" s="304">
        <f t="shared" ca="1" si="202"/>
        <v>-5.2960196313535794</v>
      </c>
    </row>
    <row r="448" spans="1:34" x14ac:dyDescent="0.2">
      <c r="A448" s="347">
        <f t="shared" ca="1" si="180"/>
        <v>0.1</v>
      </c>
      <c r="B448" s="304">
        <f t="shared" ca="1" si="181"/>
        <v>8.3999999999999435</v>
      </c>
      <c r="D448" s="306">
        <f t="shared" ca="1" si="182"/>
        <v>-0.8018078417341018</v>
      </c>
      <c r="E448" s="307">
        <f t="shared" ca="1" si="183"/>
        <v>-14.900648757672382</v>
      </c>
      <c r="F448" s="304">
        <f t="shared" ca="1" si="184"/>
        <v>14.922205909804013</v>
      </c>
      <c r="G448" s="306">
        <f t="shared" ca="1" si="185"/>
        <v>17.630399021347465</v>
      </c>
      <c r="H448" s="307">
        <f t="shared" ca="1" si="186"/>
        <v>110.95376067929773</v>
      </c>
      <c r="I448" s="304">
        <f t="shared" ca="1" si="187"/>
        <v>112.34575193807198</v>
      </c>
      <c r="J448" s="306">
        <f t="shared" ca="1" si="188"/>
        <v>150.57605778747595</v>
      </c>
      <c r="K448" s="307">
        <f t="shared" ca="1" si="189"/>
        <v>1231.2763009990917</v>
      </c>
      <c r="L448" s="304">
        <f t="shared" ca="1" si="174"/>
        <v>1240.449305123278</v>
      </c>
      <c r="M448" s="306">
        <f t="shared" ca="1" si="190"/>
        <v>1.4132151410192957</v>
      </c>
      <c r="N448" s="304">
        <f t="shared" ca="1" si="191"/>
        <v>80.971263124391101</v>
      </c>
      <c r="P448" s="310">
        <f t="shared" ca="1" si="192"/>
        <v>23</v>
      </c>
      <c r="Q448" s="304">
        <f t="shared" ca="1" si="193"/>
        <v>0</v>
      </c>
      <c r="R448" s="306">
        <f t="shared" ca="1" si="194"/>
        <v>0</v>
      </c>
      <c r="S448" s="307">
        <f t="shared" ca="1" si="195"/>
        <v>6.8519999999999914</v>
      </c>
      <c r="T448" s="304">
        <f t="shared" ca="1" si="175"/>
        <v>67.218119999999914</v>
      </c>
      <c r="U448" s="311">
        <f t="shared" ca="1" si="176"/>
        <v>0</v>
      </c>
      <c r="V448" s="306">
        <f t="shared" ca="1" si="177"/>
        <v>1.0829158928233713</v>
      </c>
      <c r="W448" s="304">
        <f t="shared" ca="1" si="178"/>
        <v>34.357721666324672</v>
      </c>
      <c r="Y448" s="314" t="str">
        <f t="shared" ca="1" si="196"/>
        <v/>
      </c>
      <c r="Z448" s="315" t="str">
        <f t="shared" ca="1" si="197"/>
        <v/>
      </c>
      <c r="AA448" s="316" t="str">
        <f t="shared" ca="1" si="198"/>
        <v/>
      </c>
      <c r="AC448" s="310" t="e">
        <f t="shared" ca="1" si="199"/>
        <v>#N/A</v>
      </c>
      <c r="AD448" s="323" t="e">
        <f t="shared" ca="1" si="200"/>
        <v>#N/A</v>
      </c>
      <c r="AE448" s="324">
        <f t="shared" ca="1" si="179"/>
        <v>1231.2763009990917</v>
      </c>
      <c r="AG448" s="306">
        <f t="shared" ca="1" si="201"/>
        <v>-14.843940987630033</v>
      </c>
      <c r="AH448" s="304">
        <f t="shared" ca="1" si="202"/>
        <v>-5.1534066974243036</v>
      </c>
    </row>
    <row r="449" spans="1:34" x14ac:dyDescent="0.2">
      <c r="A449" s="347">
        <f t="shared" ca="1" si="180"/>
        <v>0.1</v>
      </c>
      <c r="B449" s="304">
        <f t="shared" ca="1" si="181"/>
        <v>8.4999999999999432</v>
      </c>
      <c r="D449" s="306">
        <f t="shared" ca="1" si="182"/>
        <v>-0.78688721491103175</v>
      </c>
      <c r="E449" s="307">
        <f t="shared" ca="1" si="183"/>
        <v>-14.762133846722485</v>
      </c>
      <c r="F449" s="304">
        <f t="shared" ca="1" si="184"/>
        <v>14.783091259866456</v>
      </c>
      <c r="G449" s="306">
        <f t="shared" ca="1" si="185"/>
        <v>17.55171029985636</v>
      </c>
      <c r="H449" s="307">
        <f t="shared" ca="1" si="186"/>
        <v>109.47754729462548</v>
      </c>
      <c r="I449" s="304">
        <f t="shared" ca="1" si="187"/>
        <v>110.87558746675052</v>
      </c>
      <c r="J449" s="306">
        <f t="shared" ca="1" si="188"/>
        <v>152.33516325353614</v>
      </c>
      <c r="K449" s="307">
        <f t="shared" ca="1" si="189"/>
        <v>1242.2978663977879</v>
      </c>
      <c r="L449" s="304">
        <f t="shared" ca="1" si="174"/>
        <v>1251.6029685247545</v>
      </c>
      <c r="M449" s="306">
        <f t="shared" ca="1" si="190"/>
        <v>1.4118266639899957</v>
      </c>
      <c r="N449" s="304">
        <f t="shared" ca="1" si="191"/>
        <v>80.89170925066135</v>
      </c>
      <c r="P449" s="310">
        <f t="shared" ca="1" si="192"/>
        <v>23</v>
      </c>
      <c r="Q449" s="304">
        <f t="shared" ca="1" si="193"/>
        <v>0</v>
      </c>
      <c r="R449" s="306">
        <f t="shared" ca="1" si="194"/>
        <v>0</v>
      </c>
      <c r="S449" s="307">
        <f t="shared" ca="1" si="195"/>
        <v>6.8519999999999914</v>
      </c>
      <c r="T449" s="304">
        <f t="shared" ca="1" si="175"/>
        <v>67.218119999999914</v>
      </c>
      <c r="U449" s="311">
        <f t="shared" ca="1" si="176"/>
        <v>0</v>
      </c>
      <c r="V449" s="306">
        <f t="shared" ca="1" si="177"/>
        <v>1.0817184307546521</v>
      </c>
      <c r="W449" s="304">
        <f t="shared" ca="1" si="178"/>
        <v>33.427385992907084</v>
      </c>
      <c r="Y449" s="314" t="str">
        <f t="shared" ca="1" si="196"/>
        <v/>
      </c>
      <c r="Z449" s="315" t="str">
        <f t="shared" ca="1" si="197"/>
        <v/>
      </c>
      <c r="AA449" s="316" t="str">
        <f t="shared" ca="1" si="198"/>
        <v/>
      </c>
      <c r="AC449" s="310" t="e">
        <f t="shared" ca="1" si="199"/>
        <v>#N/A</v>
      </c>
      <c r="AD449" s="323" t="e">
        <f t="shared" ca="1" si="200"/>
        <v>#N/A</v>
      </c>
      <c r="AE449" s="324">
        <f t="shared" ca="1" si="179"/>
        <v>1242.2978663977879</v>
      </c>
      <c r="AG449" s="306">
        <f t="shared" ca="1" si="201"/>
        <v>-14.702713480783817</v>
      </c>
      <c r="AH449" s="304">
        <f t="shared" ca="1" si="202"/>
        <v>-5.0142617726685224</v>
      </c>
    </row>
    <row r="450" spans="1:34" x14ac:dyDescent="0.2">
      <c r="A450" s="347">
        <f t="shared" ca="1" si="180"/>
        <v>0.1</v>
      </c>
      <c r="B450" s="304">
        <f t="shared" ca="1" si="181"/>
        <v>8.5999999999999428</v>
      </c>
      <c r="D450" s="306">
        <f t="shared" ca="1" si="182"/>
        <v>-0.77226894330532947</v>
      </c>
      <c r="E450" s="307">
        <f t="shared" ca="1" si="183"/>
        <v>-14.626972723482769</v>
      </c>
      <c r="F450" s="304">
        <f t="shared" ca="1" si="184"/>
        <v>14.647345506073885</v>
      </c>
      <c r="G450" s="306">
        <f t="shared" ca="1" si="185"/>
        <v>17.474483405525827</v>
      </c>
      <c r="H450" s="307">
        <f t="shared" ca="1" si="186"/>
        <v>108.0148500222772</v>
      </c>
      <c r="I450" s="304">
        <f t="shared" ca="1" si="187"/>
        <v>109.41921858441978</v>
      </c>
      <c r="J450" s="306">
        <f t="shared" ca="1" si="188"/>
        <v>154.08647293880526</v>
      </c>
      <c r="K450" s="307">
        <f t="shared" ca="1" si="189"/>
        <v>1253.1724862636329</v>
      </c>
      <c r="L450" s="304">
        <f t="shared" ca="1" si="174"/>
        <v>1262.6099641104122</v>
      </c>
      <c r="M450" s="306">
        <f t="shared" ca="1" si="190"/>
        <v>1.410407413501628</v>
      </c>
      <c r="N450" s="304">
        <f t="shared" ca="1" si="191"/>
        <v>80.810392187606013</v>
      </c>
      <c r="P450" s="310">
        <f t="shared" ca="1" si="192"/>
        <v>23</v>
      </c>
      <c r="Q450" s="304">
        <f t="shared" ca="1" si="193"/>
        <v>0</v>
      </c>
      <c r="R450" s="306">
        <f t="shared" ca="1" si="194"/>
        <v>0</v>
      </c>
      <c r="S450" s="307">
        <f t="shared" ca="1" si="195"/>
        <v>6.8519999999999914</v>
      </c>
      <c r="T450" s="304">
        <f t="shared" ca="1" si="175"/>
        <v>67.218119999999914</v>
      </c>
      <c r="U450" s="311">
        <f t="shared" ca="1" si="176"/>
        <v>0</v>
      </c>
      <c r="V450" s="306">
        <f t="shared" ca="1" si="177"/>
        <v>1.0805381511475389</v>
      </c>
      <c r="W450" s="304">
        <f t="shared" ca="1" si="178"/>
        <v>32.519483728796978</v>
      </c>
      <c r="Y450" s="314" t="str">
        <f t="shared" ca="1" si="196"/>
        <v/>
      </c>
      <c r="Z450" s="315" t="str">
        <f t="shared" ca="1" si="197"/>
        <v/>
      </c>
      <c r="AA450" s="316" t="str">
        <f t="shared" ca="1" si="198"/>
        <v/>
      </c>
      <c r="AC450" s="310" t="e">
        <f t="shared" ca="1" si="199"/>
        <v>#N/A</v>
      </c>
      <c r="AD450" s="323" t="e">
        <f t="shared" ca="1" si="200"/>
        <v>#N/A</v>
      </c>
      <c r="AE450" s="324">
        <f t="shared" ca="1" si="179"/>
        <v>1253.1724862636329</v>
      </c>
      <c r="AG450" s="306">
        <f t="shared" ca="1" si="201"/>
        <v>-14.564790823435546</v>
      </c>
      <c r="AH450" s="304">
        <f t="shared" ca="1" si="202"/>
        <v>-4.8784859884569656</v>
      </c>
    </row>
    <row r="451" spans="1:34" x14ac:dyDescent="0.2">
      <c r="A451" s="347">
        <f t="shared" ca="1" si="180"/>
        <v>0.1</v>
      </c>
      <c r="B451" s="304">
        <f t="shared" ca="1" si="181"/>
        <v>8.6999999999999424</v>
      </c>
      <c r="D451" s="306">
        <f t="shared" ca="1" si="182"/>
        <v>-0.75794383467756243</v>
      </c>
      <c r="E451" s="307">
        <f t="shared" ca="1" si="183"/>
        <v>-14.495070667217417</v>
      </c>
      <c r="F451" s="304">
        <f t="shared" ca="1" si="184"/>
        <v>14.514873492530086</v>
      </c>
      <c r="G451" s="306">
        <f t="shared" ca="1" si="185"/>
        <v>17.398689022058072</v>
      </c>
      <c r="H451" s="307">
        <f t="shared" ca="1" si="186"/>
        <v>106.56534295555547</v>
      </c>
      <c r="I451" s="304">
        <f t="shared" ca="1" si="187"/>
        <v>107.97632471482551</v>
      </c>
      <c r="J451" s="306">
        <f t="shared" ca="1" si="188"/>
        <v>155.83013156018444</v>
      </c>
      <c r="K451" s="307">
        <f t="shared" ca="1" si="189"/>
        <v>1263.9014959125245</v>
      </c>
      <c r="L451" s="304">
        <f t="shared" ca="1" si="174"/>
        <v>1273.4716413301012</v>
      </c>
      <c r="M451" s="306">
        <f t="shared" ca="1" si="190"/>
        <v>1.4089564671475334</v>
      </c>
      <c r="N451" s="304">
        <f t="shared" ca="1" si="191"/>
        <v>80.727259085216488</v>
      </c>
      <c r="P451" s="310">
        <f t="shared" ca="1" si="192"/>
        <v>23</v>
      </c>
      <c r="Q451" s="304">
        <f t="shared" ca="1" si="193"/>
        <v>0</v>
      </c>
      <c r="R451" s="306">
        <f t="shared" ca="1" si="194"/>
        <v>0</v>
      </c>
      <c r="S451" s="307">
        <f t="shared" ca="1" si="195"/>
        <v>6.8519999999999914</v>
      </c>
      <c r="T451" s="304">
        <f t="shared" ca="1" si="175"/>
        <v>67.218119999999914</v>
      </c>
      <c r="U451" s="311">
        <f t="shared" ca="1" si="176"/>
        <v>0</v>
      </c>
      <c r="V451" s="306">
        <f t="shared" ca="1" si="177"/>
        <v>1.0793748584623137</v>
      </c>
      <c r="W451" s="304">
        <f t="shared" ca="1" si="178"/>
        <v>31.633387312181778</v>
      </c>
      <c r="Y451" s="314" t="str">
        <f t="shared" ca="1" si="196"/>
        <v/>
      </c>
      <c r="Z451" s="315" t="str">
        <f t="shared" ca="1" si="197"/>
        <v/>
      </c>
      <c r="AA451" s="316" t="str">
        <f t="shared" ca="1" si="198"/>
        <v/>
      </c>
      <c r="AC451" s="310" t="e">
        <f t="shared" ca="1" si="199"/>
        <v>#N/A</v>
      </c>
      <c r="AD451" s="323" t="e">
        <f t="shared" ca="1" si="200"/>
        <v>#N/A</v>
      </c>
      <c r="AE451" s="324">
        <f t="shared" ca="1" si="179"/>
        <v>1263.9014959125245</v>
      </c>
      <c r="AG451" s="306">
        <f t="shared" ca="1" si="201"/>
        <v>-14.430075279006024</v>
      </c>
      <c r="AH451" s="304">
        <f t="shared" ca="1" si="202"/>
        <v>-4.7459841985985136</v>
      </c>
    </row>
    <row r="452" spans="1:34" x14ac:dyDescent="0.2">
      <c r="A452" s="347">
        <f t="shared" ca="1" si="180"/>
        <v>0.1</v>
      </c>
      <c r="B452" s="304">
        <f t="shared" ca="1" si="181"/>
        <v>8.7999999999999421</v>
      </c>
      <c r="D452" s="306">
        <f t="shared" ca="1" si="182"/>
        <v>-0.74390303288152493</v>
      </c>
      <c r="E452" s="307">
        <f t="shared" ca="1" si="183"/>
        <v>-14.366336498927794</v>
      </c>
      <c r="F452" s="304">
        <f t="shared" ca="1" si="184"/>
        <v>14.385583621207561</v>
      </c>
      <c r="G452" s="306">
        <f t="shared" ca="1" si="185"/>
        <v>17.324298718769921</v>
      </c>
      <c r="H452" s="307">
        <f t="shared" ca="1" si="186"/>
        <v>105.12870930566268</v>
      </c>
      <c r="I452" s="304">
        <f t="shared" ca="1" si="187"/>
        <v>106.54659471973612</v>
      </c>
      <c r="J452" s="306">
        <f t="shared" ca="1" si="188"/>
        <v>157.56628094722583</v>
      </c>
      <c r="K452" s="307">
        <f t="shared" ca="1" si="189"/>
        <v>1274.4861985255855</v>
      </c>
      <c r="L452" s="304">
        <f t="shared" ref="L452:L515" ca="1" si="203">SQRT(pos_x^2+pos_z^2)</f>
        <v>1284.1893174776601</v>
      </c>
      <c r="M452" s="306">
        <f t="shared" ca="1" si="190"/>
        <v>1.4074728645756587</v>
      </c>
      <c r="N452" s="304">
        <f t="shared" ca="1" si="191"/>
        <v>80.642254919373315</v>
      </c>
      <c r="P452" s="310">
        <f t="shared" ca="1" si="192"/>
        <v>23</v>
      </c>
      <c r="Q452" s="304">
        <f t="shared" ca="1" si="193"/>
        <v>0</v>
      </c>
      <c r="R452" s="306">
        <f t="shared" ca="1" si="194"/>
        <v>0</v>
      </c>
      <c r="S452" s="307">
        <f t="shared" ca="1" si="195"/>
        <v>6.8519999999999914</v>
      </c>
      <c r="T452" s="304">
        <f t="shared" ref="T452:T515" ca="1" si="204">m*g</f>
        <v>67.218119999999914</v>
      </c>
      <c r="U452" s="311">
        <f t="shared" ref="U452:U515" ca="1" si="205">IF(pos_xz&lt;L_rampe,Poids*COS(Beta),0)</f>
        <v>0</v>
      </c>
      <c r="V452" s="306">
        <f t="shared" ref="V452:V515" ca="1" si="206">Rho_moyen*(20000-Alt_rampe-pos_z)/(20000+Alt_rampe+pos_z)</f>
        <v>1.0782283620271835</v>
      </c>
      <c r="W452" s="304">
        <f t="shared" ref="W452:W515" ca="1" si="207">1/2*Rho*Sref*Cx*vit_xz^2</f>
        <v>30.768492493217902</v>
      </c>
      <c r="Y452" s="314" t="str">
        <f t="shared" ca="1" si="196"/>
        <v/>
      </c>
      <c r="Z452" s="315" t="str">
        <f t="shared" ca="1" si="197"/>
        <v/>
      </c>
      <c r="AA452" s="316" t="str">
        <f t="shared" ca="1" si="198"/>
        <v/>
      </c>
      <c r="AC452" s="310" t="e">
        <f t="shared" ca="1" si="199"/>
        <v>#N/A</v>
      </c>
      <c r="AD452" s="323" t="e">
        <f t="shared" ca="1" si="200"/>
        <v>#N/A</v>
      </c>
      <c r="AE452" s="324">
        <f t="shared" ref="AE452:AE515" ca="1" si="208">IF(t&lt;T_para, pos_z, NA())</f>
        <v>1274.4861985255855</v>
      </c>
      <c r="AG452" s="306">
        <f t="shared" ca="1" si="201"/>
        <v>-14.298472536756417</v>
      </c>
      <c r="AH452" s="304">
        <f t="shared" ca="1" si="202"/>
        <v>-4.6166648149710765</v>
      </c>
    </row>
    <row r="453" spans="1:34" x14ac:dyDescent="0.2">
      <c r="A453" s="347">
        <f t="shared" ref="A453:A516" ca="1" si="209">IF(B452+0.01&lt;=T_ini+ROUNDUP(Temps_fin_propu,0), 0.01, IF(K452&gt;0, 0.1, 0.0001))</f>
        <v>0.1</v>
      </c>
      <c r="B453" s="304">
        <f t="shared" ref="B453:B516" ca="1" si="210">B452+pas</f>
        <v>8.8999999999999417</v>
      </c>
      <c r="D453" s="306">
        <f t="shared" ref="D453:D516" ca="1" si="211">IF(AND(L452&lt;L_rampe,Poussee&lt;Poids*SIN(M452)),0,(-W452+Poussee)/m*COS(M452)-U452/m*SIN(M452))</f>
        <v>-0.73013800308408328</v>
      </c>
      <c r="E453" s="307">
        <f t="shared" ref="E453:E516" ca="1" si="212">IF(AND(L452&lt;L_rampe,Poussee&lt;Poids*SIN(M452)),0,(-W452+Poussee)/m*SIN(M452)+U452/m*COS(M452)-Poids/m)</f>
        <v>-14.240682426185604</v>
      </c>
      <c r="F453" s="304">
        <f t="shared" ref="F453:F516" ca="1" si="213">SQRT(acc_x^2+acc_z^2)</f>
        <v>14.259387696076544</v>
      </c>
      <c r="G453" s="306">
        <f t="shared" ref="G453:G516" ca="1" si="214">G452+acc_x*pas</f>
        <v>17.251284918461511</v>
      </c>
      <c r="H453" s="307">
        <f t="shared" ref="H453:H516" ca="1" si="215">H452+acc_z*pas</f>
        <v>103.70464106304412</v>
      </c>
      <c r="I453" s="304">
        <f t="shared" ref="I453:I516" ca="1" si="216">SQRT(vit_x^2+vit_z^2)</f>
        <v>105.12972657318555</v>
      </c>
      <c r="J453" s="306">
        <f t="shared" ref="J453:J516" ca="1" si="217">J452+0.5*(vit_x+G452)*pas*(K452&gt;=0)</f>
        <v>159.2950601290874</v>
      </c>
      <c r="K453" s="307">
        <f t="shared" ref="K453:K516" ca="1" si="218">K452+0.5*(vit_z+H452)*pas</f>
        <v>1284.9278660440209</v>
      </c>
      <c r="L453" s="304">
        <f t="shared" ca="1" si="203"/>
        <v>1294.764278592042</v>
      </c>
      <c r="M453" s="306">
        <f t="shared" ref="M453:M516" ca="1" si="219">IF(AND(L452&gt;L_rampe,G453&gt;0),ATAN2(G453,H453),$M$4)</f>
        <v>1.4059556055533668</v>
      </c>
      <c r="N453" s="304">
        <f t="shared" ref="N453:N516" ca="1" si="220">DEGREES(Beta)</f>
        <v>80.555322380967851</v>
      </c>
      <c r="P453" s="310">
        <f t="shared" ref="P453:P516" ca="1" si="221">MATCH(t-pas/2-T_ini,CdP_t)</f>
        <v>23</v>
      </c>
      <c r="Q453" s="304">
        <f t="shared" ref="Q453:Q516" ca="1" si="222">(INDEX(CdP,2,i_P+1)-INDEX(CdP,2,i_P+0))/(INDEX(CdP,1,i_P+1)-INDEX(CdP,1,i_P+0))*(t-pas/2-T_ini-INDEX(CdP,1,i_P+0))+INDEX(CdP,2,i_P+0)</f>
        <v>0</v>
      </c>
      <c r="R453" s="306">
        <f t="shared" ref="R453:R516" ca="1" si="223">Poussee/(g*ISP)</f>
        <v>0</v>
      </c>
      <c r="S453" s="307">
        <f t="shared" ref="S453:S516" ca="1" si="224">S452-Débit*pas</f>
        <v>6.8519999999999914</v>
      </c>
      <c r="T453" s="304">
        <f t="shared" ca="1" si="204"/>
        <v>67.218119999999914</v>
      </c>
      <c r="U453" s="311">
        <f t="shared" ca="1" si="205"/>
        <v>0</v>
      </c>
      <c r="V453" s="306">
        <f t="shared" ca="1" si="206"/>
        <v>1.0770984758971163</v>
      </c>
      <c r="W453" s="304">
        <f t="shared" ca="1" si="207"/>
        <v>29.924217321021413</v>
      </c>
      <c r="Y453" s="314" t="str">
        <f t="shared" ref="Y453:Y516" ca="1" si="225">IF(AND(pos_z&lt;=0,K452&gt;0),"Impact balistique","") &amp; IF(AND(H454&lt;0,vit_z&gt;=0),"Apogée","") &amp; IF(AND(Poussee=0,Q452&gt;0),"Fin de propulsion","") &amp; IF(AND(L454&gt;L_rampe,pos_xz&lt;=L_rampe),"Sortie de rampe","")</f>
        <v/>
      </c>
      <c r="Z453" s="315" t="str">
        <f t="shared" ref="Z453:Z516" ca="1" si="226">IF(ABS(t-T_para)&lt;pas/2,"Para","")</f>
        <v/>
      </c>
      <c r="AA453" s="316" t="str">
        <f t="shared" ref="AA453:AA516" ca="1" si="227">IF(ABS(t-T_satellite)&lt;pas/2,"Satellite","")</f>
        <v/>
      </c>
      <c r="AC453" s="310" t="e">
        <f t="shared" ref="AC453:AC516" ca="1" si="228">IF(ABS(t-ROUND(t,0))&lt;0.001,t,NA())</f>
        <v>#N/A</v>
      </c>
      <c r="AD453" s="323" t="e">
        <f t="shared" ref="AD453:AD516" ca="1" si="229">IF(ABS(t-ROUND(t,0))&lt;0.001,pos_x,NA())</f>
        <v>#N/A</v>
      </c>
      <c r="AE453" s="324">
        <f t="shared" ca="1" si="208"/>
        <v>1284.9278660440209</v>
      </c>
      <c r="AG453" s="306">
        <f t="shared" ref="AG453:AG516" ca="1" si="230">IF(AND(L452&lt;L_rampe,Poussee&lt;Poids*SIN(M452)),0,(-W452+Poussee)/m-Poids*SIN(M452)/m)</f>
        <v>-14.169891547818953</v>
      </c>
      <c r="AH453" s="304">
        <f t="shared" ref="AH453:AH516" ca="1" si="231">IF(AND(L452&lt;L_rampe,Poussee&lt;Poids*SIN(M452)), g*SIN(M452), (-W452+Poussee)/m)</f>
        <v>-4.4904396516663665</v>
      </c>
    </row>
    <row r="454" spans="1:34" x14ac:dyDescent="0.2">
      <c r="A454" s="347">
        <f t="shared" ca="1" si="209"/>
        <v>0.1</v>
      </c>
      <c r="B454" s="304">
        <f t="shared" ca="1" si="210"/>
        <v>8.9999999999999414</v>
      </c>
      <c r="D454" s="306">
        <f t="shared" ca="1" si="211"/>
        <v>-0.71664051774947346</v>
      </c>
      <c r="E454" s="307">
        <f t="shared" ca="1" si="212"/>
        <v>-14.118023895942418</v>
      </c>
      <c r="F454" s="304">
        <f t="shared" ca="1" si="213"/>
        <v>14.136200775246557</v>
      </c>
      <c r="G454" s="306">
        <f t="shared" ca="1" si="214"/>
        <v>17.179620866686562</v>
      </c>
      <c r="H454" s="307">
        <f t="shared" ca="1" si="215"/>
        <v>102.29283867344988</v>
      </c>
      <c r="I454" s="304">
        <f t="shared" ca="1" si="216"/>
        <v>103.72542705140113</v>
      </c>
      <c r="J454" s="306">
        <f t="shared" ca="1" si="217"/>
        <v>161.0166054183448</v>
      </c>
      <c r="K454" s="307">
        <f t="shared" ca="1" si="218"/>
        <v>1295.2277400308456</v>
      </c>
      <c r="L454" s="304">
        <f t="shared" ca="1" si="203"/>
        <v>1305.1977803252114</v>
      </c>
      <c r="M454" s="306">
        <f t="shared" ca="1" si="219"/>
        <v>1.4044036479132895</v>
      </c>
      <c r="N454" s="304">
        <f t="shared" ca="1" si="220"/>
        <v>80.466401758208335</v>
      </c>
      <c r="P454" s="310">
        <f t="shared" ca="1" si="221"/>
        <v>23</v>
      </c>
      <c r="Q454" s="304">
        <f t="shared" ca="1" si="222"/>
        <v>0</v>
      </c>
      <c r="R454" s="306">
        <f t="shared" ca="1" si="223"/>
        <v>0</v>
      </c>
      <c r="S454" s="307">
        <f t="shared" ca="1" si="224"/>
        <v>6.8519999999999914</v>
      </c>
      <c r="T454" s="304">
        <f t="shared" ca="1" si="204"/>
        <v>67.218119999999914</v>
      </c>
      <c r="U454" s="311">
        <f t="shared" ca="1" si="205"/>
        <v>0</v>
      </c>
      <c r="V454" s="306">
        <f t="shared" ca="1" si="206"/>
        <v>1.0759850187180495</v>
      </c>
      <c r="W454" s="304">
        <f t="shared" ca="1" si="207"/>
        <v>29.100001182368235</v>
      </c>
      <c r="Y454" s="314" t="str">
        <f t="shared" ca="1" si="225"/>
        <v/>
      </c>
      <c r="Z454" s="315" t="str">
        <f t="shared" ca="1" si="226"/>
        <v/>
      </c>
      <c r="AA454" s="316" t="str">
        <f t="shared" ca="1" si="227"/>
        <v/>
      </c>
      <c r="AC454" s="310">
        <f t="shared" ca="1" si="228"/>
        <v>8.9999999999999414</v>
      </c>
      <c r="AD454" s="323">
        <f t="shared" ca="1" si="229"/>
        <v>161.0166054183448</v>
      </c>
      <c r="AE454" s="324">
        <f t="shared" ca="1" si="208"/>
        <v>1295.2277400308456</v>
      </c>
      <c r="AG454" s="306">
        <f t="shared" ca="1" si="230"/>
        <v>-14.044244368657825</v>
      </c>
      <c r="AH454" s="304">
        <f t="shared" ca="1" si="231"/>
        <v>-4.3672237771484896</v>
      </c>
    </row>
    <row r="455" spans="1:34" x14ac:dyDescent="0.2">
      <c r="A455" s="347">
        <f t="shared" ca="1" si="209"/>
        <v>0.1</v>
      </c>
      <c r="B455" s="304">
        <f t="shared" ca="1" si="210"/>
        <v>9.099999999999941</v>
      </c>
      <c r="D455" s="306">
        <f t="shared" ca="1" si="211"/>
        <v>-0.70340264334397606</v>
      </c>
      <c r="E455" s="307">
        <f t="shared" ca="1" si="212"/>
        <v>-13.998279454850461</v>
      </c>
      <c r="F455" s="304">
        <f t="shared" ca="1" si="213"/>
        <v>14.015941030653341</v>
      </c>
      <c r="G455" s="306">
        <f t="shared" ca="1" si="214"/>
        <v>17.109280602352165</v>
      </c>
      <c r="H455" s="307">
        <f t="shared" ca="1" si="215"/>
        <v>100.89301072796484</v>
      </c>
      <c r="I455" s="304">
        <f t="shared" ca="1" si="216"/>
        <v>102.33341143772766</v>
      </c>
      <c r="J455" s="306">
        <f t="shared" ca="1" si="217"/>
        <v>162.73105049179674</v>
      </c>
      <c r="K455" s="307">
        <f t="shared" ca="1" si="218"/>
        <v>1305.3870325009163</v>
      </c>
      <c r="L455" s="304">
        <f t="shared" ca="1" si="203"/>
        <v>1315.4910487782545</v>
      </c>
      <c r="M455" s="306">
        <f t="shared" ca="1" si="219"/>
        <v>1.4028159053716933</v>
      </c>
      <c r="N455" s="304">
        <f t="shared" ca="1" si="220"/>
        <v>80.375430811621499</v>
      </c>
      <c r="P455" s="310">
        <f t="shared" ca="1" si="221"/>
        <v>23</v>
      </c>
      <c r="Q455" s="304">
        <f t="shared" ca="1" si="222"/>
        <v>0</v>
      </c>
      <c r="R455" s="306">
        <f t="shared" ca="1" si="223"/>
        <v>0</v>
      </c>
      <c r="S455" s="307">
        <f t="shared" ca="1" si="224"/>
        <v>6.8519999999999914</v>
      </c>
      <c r="T455" s="304">
        <f t="shared" ca="1" si="204"/>
        <v>67.218119999999914</v>
      </c>
      <c r="U455" s="311">
        <f t="shared" ca="1" si="205"/>
        <v>0</v>
      </c>
      <c r="V455" s="306">
        <f t="shared" ca="1" si="206"/>
        <v>1.0748878135962301</v>
      </c>
      <c r="W455" s="304">
        <f t="shared" ca="1" si="207"/>
        <v>28.295303889111867</v>
      </c>
      <c r="Y455" s="314" t="str">
        <f t="shared" ca="1" si="225"/>
        <v/>
      </c>
      <c r="Z455" s="315" t="str">
        <f t="shared" ca="1" si="226"/>
        <v/>
      </c>
      <c r="AA455" s="316" t="str">
        <f t="shared" ca="1" si="227"/>
        <v/>
      </c>
      <c r="AC455" s="310" t="e">
        <f t="shared" ca="1" si="228"/>
        <v>#N/A</v>
      </c>
      <c r="AD455" s="323" t="e">
        <f t="shared" ca="1" si="229"/>
        <v>#N/A</v>
      </c>
      <c r="AE455" s="324">
        <f t="shared" ca="1" si="208"/>
        <v>1305.3870325009163</v>
      </c>
      <c r="AG455" s="306">
        <f t="shared" ca="1" si="230"/>
        <v>-13.921446011445031</v>
      </c>
      <c r="AH455" s="304">
        <f t="shared" ca="1" si="231"/>
        <v>-4.2469353739591753</v>
      </c>
    </row>
    <row r="456" spans="1:34" x14ac:dyDescent="0.2">
      <c r="A456" s="347">
        <f t="shared" ca="1" si="209"/>
        <v>0.1</v>
      </c>
      <c r="B456" s="304">
        <f t="shared" ca="1" si="210"/>
        <v>9.1999999999999407</v>
      </c>
      <c r="D456" s="306">
        <f t="shared" ca="1" si="211"/>
        <v>-0.69041672771983742</v>
      </c>
      <c r="E456" s="307">
        <f t="shared" ca="1" si="212"/>
        <v>-13.881370616659794</v>
      </c>
      <c r="F456" s="304">
        <f t="shared" ca="1" si="213"/>
        <v>13.898529614854272</v>
      </c>
      <c r="G456" s="306">
        <f t="shared" ca="1" si="214"/>
        <v>17.04023892958018</v>
      </c>
      <c r="H456" s="307">
        <f t="shared" ca="1" si="215"/>
        <v>99.504873666298863</v>
      </c>
      <c r="I456" s="304">
        <f t="shared" ca="1" si="216"/>
        <v>100.95340324190798</v>
      </c>
      <c r="J456" s="306">
        <f t="shared" ca="1" si="217"/>
        <v>164.43852646839335</v>
      </c>
      <c r="K456" s="307">
        <f t="shared" ca="1" si="218"/>
        <v>1315.4069267206296</v>
      </c>
      <c r="L456" s="304">
        <f t="shared" ca="1" si="203"/>
        <v>1325.6452813070728</v>
      </c>
      <c r="M456" s="306">
        <f t="shared" ca="1" si="219"/>
        <v>1.401191245210142</v>
      </c>
      <c r="N456" s="304">
        <f t="shared" ca="1" si="220"/>
        <v>80.28234464122157</v>
      </c>
      <c r="P456" s="310">
        <f t="shared" ca="1" si="221"/>
        <v>23</v>
      </c>
      <c r="Q456" s="304">
        <f t="shared" ca="1" si="222"/>
        <v>0</v>
      </c>
      <c r="R456" s="306">
        <f t="shared" ca="1" si="223"/>
        <v>0</v>
      </c>
      <c r="S456" s="307">
        <f t="shared" ca="1" si="224"/>
        <v>6.8519999999999914</v>
      </c>
      <c r="T456" s="304">
        <f t="shared" ca="1" si="204"/>
        <v>67.218119999999914</v>
      </c>
      <c r="U456" s="311">
        <f t="shared" ca="1" si="205"/>
        <v>0</v>
      </c>
      <c r="V456" s="306">
        <f t="shared" ca="1" si="206"/>
        <v>1.0738066879724657</v>
      </c>
      <c r="W456" s="304">
        <f t="shared" ca="1" si="207"/>
        <v>27.509604811521317</v>
      </c>
      <c r="Y456" s="314" t="str">
        <f t="shared" ca="1" si="225"/>
        <v/>
      </c>
      <c r="Z456" s="315" t="str">
        <f t="shared" ca="1" si="226"/>
        <v/>
      </c>
      <c r="AA456" s="316" t="str">
        <f t="shared" ca="1" si="227"/>
        <v/>
      </c>
      <c r="AC456" s="310" t="e">
        <f t="shared" ca="1" si="228"/>
        <v>#N/A</v>
      </c>
      <c r="AD456" s="323" t="e">
        <f t="shared" ca="1" si="229"/>
        <v>#N/A</v>
      </c>
      <c r="AE456" s="324">
        <f t="shared" ca="1" si="208"/>
        <v>1315.4069267206296</v>
      </c>
      <c r="AG456" s="306">
        <f t="shared" ca="1" si="230"/>
        <v>-13.801414300861797</v>
      </c>
      <c r="AH456" s="304">
        <f t="shared" ca="1" si="231"/>
        <v>-4.129495605532969</v>
      </c>
    </row>
    <row r="457" spans="1:34" x14ac:dyDescent="0.2">
      <c r="A457" s="347">
        <f t="shared" ca="1" si="209"/>
        <v>0.1</v>
      </c>
      <c r="B457" s="304">
        <f t="shared" ca="1" si="210"/>
        <v>9.2999999999999403</v>
      </c>
      <c r="D457" s="306">
        <f t="shared" ca="1" si="211"/>
        <v>-0.67767538814000716</v>
      </c>
      <c r="E457" s="307">
        <f t="shared" ca="1" si="212"/>
        <v>-13.767221736285407</v>
      </c>
      <c r="F457" s="304">
        <f t="shared" ca="1" si="213"/>
        <v>13.783890534523991</v>
      </c>
      <c r="G457" s="306">
        <f t="shared" ca="1" si="214"/>
        <v>16.972471390766181</v>
      </c>
      <c r="H457" s="307">
        <f t="shared" ca="1" si="215"/>
        <v>98.128151492670327</v>
      </c>
      <c r="I457" s="304">
        <f t="shared" ca="1" si="216"/>
        <v>99.585133933126954</v>
      </c>
      <c r="J457" s="306">
        <f t="shared" ca="1" si="217"/>
        <v>166.13916198441066</v>
      </c>
      <c r="K457" s="307">
        <f t="shared" ca="1" si="218"/>
        <v>1325.2885779785781</v>
      </c>
      <c r="L457" s="304">
        <f t="shared" ca="1" si="203"/>
        <v>1335.6616472989572</v>
      </c>
      <c r="M457" s="306">
        <f t="shared" ca="1" si="219"/>
        <v>1.399528485810466</v>
      </c>
      <c r="N457" s="304">
        <f t="shared" ca="1" si="220"/>
        <v>80.187075545274425</v>
      </c>
      <c r="P457" s="310">
        <f t="shared" ca="1" si="221"/>
        <v>23</v>
      </c>
      <c r="Q457" s="304">
        <f t="shared" ca="1" si="222"/>
        <v>0</v>
      </c>
      <c r="R457" s="306">
        <f t="shared" ca="1" si="223"/>
        <v>0</v>
      </c>
      <c r="S457" s="307">
        <f t="shared" ca="1" si="224"/>
        <v>6.8519999999999914</v>
      </c>
      <c r="T457" s="304">
        <f t="shared" ca="1" si="204"/>
        <v>67.218119999999914</v>
      </c>
      <c r="U457" s="311">
        <f t="shared" ca="1" si="205"/>
        <v>0</v>
      </c>
      <c r="V457" s="306">
        <f t="shared" ca="1" si="206"/>
        <v>1.0727414735010683</v>
      </c>
      <c r="W457" s="304">
        <f t="shared" ca="1" si="207"/>
        <v>26.742402054921424</v>
      </c>
      <c r="Y457" s="314" t="str">
        <f t="shared" ca="1" si="225"/>
        <v/>
      </c>
      <c r="Z457" s="315" t="str">
        <f t="shared" ca="1" si="226"/>
        <v/>
      </c>
      <c r="AA457" s="316" t="str">
        <f t="shared" ca="1" si="227"/>
        <v/>
      </c>
      <c r="AC457" s="310" t="e">
        <f t="shared" ca="1" si="228"/>
        <v>#N/A</v>
      </c>
      <c r="AD457" s="323" t="e">
        <f t="shared" ca="1" si="229"/>
        <v>#N/A</v>
      </c>
      <c r="AE457" s="324">
        <f t="shared" ca="1" si="208"/>
        <v>1325.2885779785781</v>
      </c>
      <c r="AG457" s="306">
        <f t="shared" ca="1" si="230"/>
        <v>-13.684069736859879</v>
      </c>
      <c r="AH457" s="304">
        <f t="shared" ca="1" si="231"/>
        <v>-4.0148284897141497</v>
      </c>
    </row>
    <row r="458" spans="1:34" x14ac:dyDescent="0.2">
      <c r="A458" s="347">
        <f t="shared" ca="1" si="209"/>
        <v>0.1</v>
      </c>
      <c r="B458" s="304">
        <f t="shared" ca="1" si="210"/>
        <v>9.39999999999994</v>
      </c>
      <c r="D458" s="306">
        <f t="shared" ca="1" si="211"/>
        <v>-0.66517149990781388</v>
      </c>
      <c r="E458" s="307">
        <f t="shared" ca="1" si="212"/>
        <v>-13.655759890163774</v>
      </c>
      <c r="F458" s="304">
        <f t="shared" ca="1" si="213"/>
        <v>13.671950530267996</v>
      </c>
      <c r="G458" s="306">
        <f t="shared" ca="1" si="214"/>
        <v>16.905954240775401</v>
      </c>
      <c r="H458" s="307">
        <f t="shared" ca="1" si="215"/>
        <v>96.762575503653949</v>
      </c>
      <c r="I458" s="304">
        <f t="shared" ca="1" si="216"/>
        <v>98.228342686271176</v>
      </c>
      <c r="J458" s="306">
        <f t="shared" ca="1" si="217"/>
        <v>167.83308326598774</v>
      </c>
      <c r="K458" s="307">
        <f t="shared" ca="1" si="218"/>
        <v>1335.0331143283943</v>
      </c>
      <c r="L458" s="304">
        <f t="shared" ca="1" si="203"/>
        <v>1345.5412889212801</v>
      </c>
      <c r="M458" s="306">
        <f t="shared" ca="1" si="219"/>
        <v>1.3978263940322224</v>
      </c>
      <c r="N458" s="304">
        <f t="shared" ca="1" si="220"/>
        <v>80.089552870037153</v>
      </c>
      <c r="P458" s="310">
        <f t="shared" ca="1" si="221"/>
        <v>23</v>
      </c>
      <c r="Q458" s="304">
        <f t="shared" ca="1" si="222"/>
        <v>0</v>
      </c>
      <c r="R458" s="306">
        <f t="shared" ca="1" si="223"/>
        <v>0</v>
      </c>
      <c r="S458" s="307">
        <f t="shared" ca="1" si="224"/>
        <v>6.8519999999999914</v>
      </c>
      <c r="T458" s="304">
        <f t="shared" ca="1" si="204"/>
        <v>67.218119999999914</v>
      </c>
      <c r="U458" s="311">
        <f t="shared" ca="1" si="205"/>
        <v>0</v>
      </c>
      <c r="V458" s="306">
        <f t="shared" ca="1" si="206"/>
        <v>1.071692005933288</v>
      </c>
      <c r="W458" s="304">
        <f t="shared" ca="1" si="207"/>
        <v>25.99321167718578</v>
      </c>
      <c r="Y458" s="314" t="str">
        <f t="shared" ca="1" si="225"/>
        <v/>
      </c>
      <c r="Z458" s="315" t="str">
        <f t="shared" ca="1" si="226"/>
        <v/>
      </c>
      <c r="AA458" s="316" t="str">
        <f t="shared" ca="1" si="227"/>
        <v/>
      </c>
      <c r="AC458" s="310" t="e">
        <f t="shared" ca="1" si="228"/>
        <v>#N/A</v>
      </c>
      <c r="AD458" s="323" t="e">
        <f t="shared" ca="1" si="229"/>
        <v>#N/A</v>
      </c>
      <c r="AE458" s="324">
        <f t="shared" ca="1" si="208"/>
        <v>1335.0331143283943</v>
      </c>
      <c r="AG458" s="306">
        <f t="shared" ca="1" si="230"/>
        <v>-13.569335362937634</v>
      </c>
      <c r="AH458" s="304">
        <f t="shared" ca="1" si="231"/>
        <v>-3.902860778593324</v>
      </c>
    </row>
    <row r="459" spans="1:34" x14ac:dyDescent="0.2">
      <c r="A459" s="347">
        <f t="shared" ca="1" si="209"/>
        <v>0.1</v>
      </c>
      <c r="B459" s="304">
        <f t="shared" ca="1" si="210"/>
        <v>9.4999999999999396</v>
      </c>
      <c r="D459" s="306">
        <f t="shared" ca="1" si="211"/>
        <v>-0.65289818556803747</v>
      </c>
      <c r="E459" s="307">
        <f t="shared" ca="1" si="212"/>
        <v>-13.546914762542755</v>
      </c>
      <c r="F459" s="304">
        <f t="shared" ca="1" si="213"/>
        <v>13.562638962396546</v>
      </c>
      <c r="G459" s="306">
        <f t="shared" ca="1" si="214"/>
        <v>16.840664422218598</v>
      </c>
      <c r="H459" s="307">
        <f t="shared" ca="1" si="215"/>
        <v>95.407884027399675</v>
      </c>
      <c r="I459" s="304">
        <f t="shared" ca="1" si="216"/>
        <v>96.882776140898883</v>
      </c>
      <c r="J459" s="306">
        <f t="shared" ca="1" si="217"/>
        <v>169.52041419913743</v>
      </c>
      <c r="K459" s="307">
        <f t="shared" ca="1" si="218"/>
        <v>1344.6416373049469</v>
      </c>
      <c r="L459" s="304">
        <f t="shared" ca="1" si="203"/>
        <v>1355.2853218434764</v>
      </c>
      <c r="M459" s="306">
        <f t="shared" ca="1" si="219"/>
        <v>1.3960836824209186</v>
      </c>
      <c r="N459" s="304">
        <f t="shared" ca="1" si="220"/>
        <v>79.989702849800992</v>
      </c>
      <c r="P459" s="310">
        <f t="shared" ca="1" si="221"/>
        <v>23</v>
      </c>
      <c r="Q459" s="304">
        <f t="shared" ca="1" si="222"/>
        <v>0</v>
      </c>
      <c r="R459" s="306">
        <f t="shared" ca="1" si="223"/>
        <v>0</v>
      </c>
      <c r="S459" s="307">
        <f t="shared" ca="1" si="224"/>
        <v>6.8519999999999914</v>
      </c>
      <c r="T459" s="304">
        <f t="shared" ca="1" si="204"/>
        <v>67.218119999999914</v>
      </c>
      <c r="U459" s="311">
        <f t="shared" ca="1" si="205"/>
        <v>0</v>
      </c>
      <c r="V459" s="306">
        <f t="shared" ca="1" si="206"/>
        <v>1.0706581250050411</v>
      </c>
      <c r="W459" s="304">
        <f t="shared" ca="1" si="207"/>
        <v>25.261566944787628</v>
      </c>
      <c r="Y459" s="314" t="str">
        <f t="shared" ca="1" si="225"/>
        <v/>
      </c>
      <c r="Z459" s="315" t="str">
        <f t="shared" ca="1" si="226"/>
        <v/>
      </c>
      <c r="AA459" s="316" t="str">
        <f t="shared" ca="1" si="227"/>
        <v/>
      </c>
      <c r="AC459" s="310" t="e">
        <f t="shared" ca="1" si="228"/>
        <v>#N/A</v>
      </c>
      <c r="AD459" s="323" t="e">
        <f t="shared" ca="1" si="229"/>
        <v>#N/A</v>
      </c>
      <c r="AE459" s="324">
        <f t="shared" ca="1" si="208"/>
        <v>1344.6416373049469</v>
      </c>
      <c r="AG459" s="306">
        <f t="shared" ca="1" si="230"/>
        <v>-13.457136639504322</v>
      </c>
      <c r="AH459" s="304">
        <f t="shared" ca="1" si="231"/>
        <v>-3.7935218443061607</v>
      </c>
    </row>
    <row r="460" spans="1:34" x14ac:dyDescent="0.2">
      <c r="A460" s="347">
        <f t="shared" ca="1" si="209"/>
        <v>0.1</v>
      </c>
      <c r="B460" s="304">
        <f t="shared" ca="1" si="210"/>
        <v>9.5999999999999392</v>
      </c>
      <c r="D460" s="306">
        <f t="shared" ca="1" si="211"/>
        <v>-0.64084880464803695</v>
      </c>
      <c r="E460" s="307">
        <f t="shared" ca="1" si="212"/>
        <v>-13.440618537371387</v>
      </c>
      <c r="F460" s="304">
        <f t="shared" ca="1" si="213"/>
        <v>13.455887702323849</v>
      </c>
      <c r="G460" s="306">
        <f t="shared" ca="1" si="214"/>
        <v>16.776579541753794</v>
      </c>
      <c r="H460" s="307">
        <f t="shared" ca="1" si="215"/>
        <v>94.06382217366253</v>
      </c>
      <c r="I460" s="304">
        <f t="shared" ca="1" si="216"/>
        <v>95.548188172456719</v>
      </c>
      <c r="J460" s="306">
        <f t="shared" ca="1" si="217"/>
        <v>171.20127639733604</v>
      </c>
      <c r="K460" s="307">
        <f t="shared" ca="1" si="218"/>
        <v>1354.115222615</v>
      </c>
      <c r="L460" s="304">
        <f t="shared" ca="1" si="203"/>
        <v>1364.8948359334313</v>
      </c>
      <c r="M460" s="306">
        <f t="shared" ca="1" si="219"/>
        <v>1.3942990062342695</v>
      </c>
      <c r="N460" s="304">
        <f t="shared" ca="1" si="220"/>
        <v>79.887448436508507</v>
      </c>
      <c r="P460" s="310">
        <f t="shared" ca="1" si="221"/>
        <v>23</v>
      </c>
      <c r="Q460" s="304">
        <f t="shared" ca="1" si="222"/>
        <v>0</v>
      </c>
      <c r="R460" s="306">
        <f t="shared" ca="1" si="223"/>
        <v>0</v>
      </c>
      <c r="S460" s="307">
        <f t="shared" ca="1" si="224"/>
        <v>6.8519999999999914</v>
      </c>
      <c r="T460" s="304">
        <f t="shared" ca="1" si="204"/>
        <v>67.218119999999914</v>
      </c>
      <c r="U460" s="311">
        <f t="shared" ca="1" si="205"/>
        <v>0</v>
      </c>
      <c r="V460" s="306">
        <f t="shared" ca="1" si="206"/>
        <v>1.0696396743287553</v>
      </c>
      <c r="W460" s="304">
        <f t="shared" ca="1" si="207"/>
        <v>24.54701762525902</v>
      </c>
      <c r="Y460" s="314" t="str">
        <f t="shared" ca="1" si="225"/>
        <v/>
      </c>
      <c r="Z460" s="315" t="str">
        <f t="shared" ca="1" si="226"/>
        <v/>
      </c>
      <c r="AA460" s="316" t="str">
        <f t="shared" ca="1" si="227"/>
        <v/>
      </c>
      <c r="AC460" s="310" t="e">
        <f t="shared" ca="1" si="228"/>
        <v>#N/A</v>
      </c>
      <c r="AD460" s="323" t="e">
        <f t="shared" ca="1" si="229"/>
        <v>#N/A</v>
      </c>
      <c r="AE460" s="324">
        <f t="shared" ca="1" si="208"/>
        <v>1354.115222615</v>
      </c>
      <c r="AG460" s="306">
        <f t="shared" ca="1" si="230"/>
        <v>-13.347401321921978</v>
      </c>
      <c r="AH460" s="304">
        <f t="shared" ca="1" si="231"/>
        <v>-3.6867435704593783</v>
      </c>
    </row>
    <row r="461" spans="1:34" x14ac:dyDescent="0.2">
      <c r="A461" s="347">
        <f t="shared" ca="1" si="209"/>
        <v>0.1</v>
      </c>
      <c r="B461" s="304">
        <f t="shared" ca="1" si="210"/>
        <v>9.6999999999999389</v>
      </c>
      <c r="D461" s="306">
        <f t="shared" ca="1" si="211"/>
        <v>-0.62901694390965157</v>
      </c>
      <c r="E461" s="307">
        <f t="shared" ca="1" si="212"/>
        <v>-13.336805795477002</v>
      </c>
      <c r="F461" s="304">
        <f t="shared" ca="1" si="213"/>
        <v>13.351631029278572</v>
      </c>
      <c r="G461" s="306">
        <f t="shared" ca="1" si="214"/>
        <v>16.713677847362828</v>
      </c>
      <c r="H461" s="307">
        <f t="shared" ca="1" si="215"/>
        <v>92.730141594114826</v>
      </c>
      <c r="I461" s="304">
        <f t="shared" ca="1" si="216"/>
        <v>94.224339675319627</v>
      </c>
      <c r="J461" s="306">
        <f t="shared" ca="1" si="217"/>
        <v>172.87578926679188</v>
      </c>
      <c r="K461" s="307">
        <f t="shared" ca="1" si="218"/>
        <v>1363.4549208033889</v>
      </c>
      <c r="L461" s="304">
        <f t="shared" ca="1" si="203"/>
        <v>1374.3708959293308</v>
      </c>
      <c r="M461" s="306">
        <f t="shared" ca="1" si="219"/>
        <v>1.3924709602726737</v>
      </c>
      <c r="N461" s="304">
        <f t="shared" ca="1" si="220"/>
        <v>79.782709118153122</v>
      </c>
      <c r="P461" s="310">
        <f t="shared" ca="1" si="221"/>
        <v>23</v>
      </c>
      <c r="Q461" s="304">
        <f t="shared" ca="1" si="222"/>
        <v>0</v>
      </c>
      <c r="R461" s="306">
        <f t="shared" ca="1" si="223"/>
        <v>0</v>
      </c>
      <c r="S461" s="307">
        <f t="shared" ca="1" si="224"/>
        <v>6.8519999999999914</v>
      </c>
      <c r="T461" s="304">
        <f t="shared" ca="1" si="204"/>
        <v>67.218119999999914</v>
      </c>
      <c r="U461" s="311">
        <f t="shared" ca="1" si="205"/>
        <v>0</v>
      </c>
      <c r="V461" s="306">
        <f t="shared" ca="1" si="206"/>
        <v>1.0686365012891519</v>
      </c>
      <c r="W461" s="304">
        <f t="shared" ca="1" si="207"/>
        <v>23.84912931404304</v>
      </c>
      <c r="Y461" s="314" t="str">
        <f t="shared" ca="1" si="225"/>
        <v/>
      </c>
      <c r="Z461" s="315" t="str">
        <f t="shared" ca="1" si="226"/>
        <v/>
      </c>
      <c r="AA461" s="316" t="str">
        <f t="shared" ca="1" si="227"/>
        <v/>
      </c>
      <c r="AC461" s="310" t="e">
        <f t="shared" ca="1" si="228"/>
        <v>#N/A</v>
      </c>
      <c r="AD461" s="323" t="e">
        <f t="shared" ca="1" si="229"/>
        <v>#N/A</v>
      </c>
      <c r="AE461" s="324">
        <f t="shared" ca="1" si="208"/>
        <v>1363.4549208033889</v>
      </c>
      <c r="AG461" s="306">
        <f t="shared" ca="1" si="230"/>
        <v>-13.240059342828086</v>
      </c>
      <c r="AH461" s="304">
        <f t="shared" ca="1" si="231"/>
        <v>-3.5824602488702642</v>
      </c>
    </row>
    <row r="462" spans="1:34" x14ac:dyDescent="0.2">
      <c r="A462" s="347">
        <f t="shared" ca="1" si="209"/>
        <v>0.1</v>
      </c>
      <c r="B462" s="304">
        <f t="shared" ca="1" si="210"/>
        <v>9.7999999999999385</v>
      </c>
      <c r="D462" s="306">
        <f t="shared" ca="1" si="211"/>
        <v>-0.61739640808448748</v>
      </c>
      <c r="E462" s="307">
        <f t="shared" ca="1" si="212"/>
        <v>-13.235413416736749</v>
      </c>
      <c r="F462" s="304">
        <f t="shared" ca="1" si="213"/>
        <v>13.249805532031434</v>
      </c>
      <c r="G462" s="306">
        <f t="shared" ca="1" si="214"/>
        <v>16.65193820655438</v>
      </c>
      <c r="H462" s="307">
        <f t="shared" ca="1" si="215"/>
        <v>91.406600252441152</v>
      </c>
      <c r="I462" s="304">
        <f t="shared" ca="1" si="216"/>
        <v>92.910998357269193</v>
      </c>
      <c r="J462" s="306">
        <f t="shared" ca="1" si="217"/>
        <v>174.54407006948773</v>
      </c>
      <c r="K462" s="307">
        <f t="shared" ca="1" si="218"/>
        <v>1372.6617578957166</v>
      </c>
      <c r="L462" s="304">
        <f t="shared" ca="1" si="203"/>
        <v>1383.714542087992</v>
      </c>
      <c r="M462" s="306">
        <f t="shared" ca="1" si="219"/>
        <v>1.3905980754988927</v>
      </c>
      <c r="N462" s="304">
        <f t="shared" ca="1" si="220"/>
        <v>79.675400725101156</v>
      </c>
      <c r="P462" s="310">
        <f t="shared" ca="1" si="221"/>
        <v>23</v>
      </c>
      <c r="Q462" s="304">
        <f t="shared" ca="1" si="222"/>
        <v>0</v>
      </c>
      <c r="R462" s="306">
        <f t="shared" ca="1" si="223"/>
        <v>0</v>
      </c>
      <c r="S462" s="307">
        <f t="shared" ca="1" si="224"/>
        <v>6.8519999999999914</v>
      </c>
      <c r="T462" s="304">
        <f t="shared" ca="1" si="204"/>
        <v>67.218119999999914</v>
      </c>
      <c r="U462" s="311">
        <f t="shared" ca="1" si="205"/>
        <v>0</v>
      </c>
      <c r="V462" s="306">
        <f t="shared" ca="1" si="206"/>
        <v>1.0676484569428</v>
      </c>
      <c r="W462" s="304">
        <f t="shared" ca="1" si="207"/>
        <v>23.167482793848954</v>
      </c>
      <c r="Y462" s="314" t="str">
        <f t="shared" ca="1" si="225"/>
        <v/>
      </c>
      <c r="Z462" s="315" t="str">
        <f t="shared" ca="1" si="226"/>
        <v/>
      </c>
      <c r="AA462" s="316" t="str">
        <f t="shared" ca="1" si="227"/>
        <v/>
      </c>
      <c r="AC462" s="310" t="e">
        <f t="shared" ca="1" si="228"/>
        <v>#N/A</v>
      </c>
      <c r="AD462" s="323" t="e">
        <f t="shared" ca="1" si="229"/>
        <v>#N/A</v>
      </c>
      <c r="AE462" s="324">
        <f t="shared" ca="1" si="208"/>
        <v>1372.6617578957166</v>
      </c>
      <c r="AG462" s="306">
        <f t="shared" ca="1" si="230"/>
        <v>-13.135042698353521</v>
      </c>
      <c r="AH462" s="304">
        <f t="shared" ca="1" si="231"/>
        <v>-3.4806084813256084</v>
      </c>
    </row>
    <row r="463" spans="1:34" x14ac:dyDescent="0.2">
      <c r="A463" s="347">
        <f t="shared" ca="1" si="209"/>
        <v>0.1</v>
      </c>
      <c r="B463" s="304">
        <f t="shared" ca="1" si="210"/>
        <v>9.8999999999999382</v>
      </c>
      <c r="D463" s="306">
        <f t="shared" ca="1" si="211"/>
        <v>-0.60598121106699365</v>
      </c>
      <c r="E463" s="307">
        <f t="shared" ca="1" si="212"/>
        <v>-13.13638048696869</v>
      </c>
      <c r="F463" s="304">
        <f t="shared" ca="1" si="213"/>
        <v>13.150350015363772</v>
      </c>
      <c r="G463" s="306">
        <f t="shared" ca="1" si="214"/>
        <v>16.59134008544768</v>
      </c>
      <c r="H463" s="307">
        <f t="shared" ca="1" si="215"/>
        <v>90.092962203744278</v>
      </c>
      <c r="I463" s="304">
        <f t="shared" ca="1" si="216"/>
        <v>91.6079385450643</v>
      </c>
      <c r="J463" s="306">
        <f t="shared" ca="1" si="217"/>
        <v>176.20623398408785</v>
      </c>
      <c r="K463" s="307">
        <f t="shared" ca="1" si="218"/>
        <v>1381.7367360185258</v>
      </c>
      <c r="L463" s="304">
        <f t="shared" ca="1" si="203"/>
        <v>1392.9267908106242</v>
      </c>
      <c r="M463" s="306">
        <f t="shared" ca="1" si="219"/>
        <v>1.3886788154306016</v>
      </c>
      <c r="N463" s="304">
        <f t="shared" ca="1" si="220"/>
        <v>79.565435223400087</v>
      </c>
      <c r="P463" s="310">
        <f t="shared" ca="1" si="221"/>
        <v>23</v>
      </c>
      <c r="Q463" s="304">
        <f t="shared" ca="1" si="222"/>
        <v>0</v>
      </c>
      <c r="R463" s="306">
        <f t="shared" ca="1" si="223"/>
        <v>0</v>
      </c>
      <c r="S463" s="307">
        <f t="shared" ca="1" si="224"/>
        <v>6.8519999999999914</v>
      </c>
      <c r="T463" s="304">
        <f t="shared" ca="1" si="204"/>
        <v>67.218119999999914</v>
      </c>
      <c r="U463" s="311">
        <f t="shared" ca="1" si="205"/>
        <v>0</v>
      </c>
      <c r="V463" s="306">
        <f t="shared" ca="1" si="206"/>
        <v>1.0666753959212878</v>
      </c>
      <c r="W463" s="304">
        <f t="shared" ca="1" si="207"/>
        <v>22.501673424737426</v>
      </c>
      <c r="Y463" s="314" t="str">
        <f t="shared" ca="1" si="225"/>
        <v/>
      </c>
      <c r="Z463" s="315" t="str">
        <f t="shared" ca="1" si="226"/>
        <v/>
      </c>
      <c r="AA463" s="316" t="str">
        <f t="shared" ca="1" si="227"/>
        <v/>
      </c>
      <c r="AC463" s="310" t="e">
        <f t="shared" ca="1" si="228"/>
        <v>#N/A</v>
      </c>
      <c r="AD463" s="323" t="e">
        <f t="shared" ca="1" si="229"/>
        <v>#N/A</v>
      </c>
      <c r="AE463" s="324">
        <f t="shared" ca="1" si="208"/>
        <v>1381.7367360185258</v>
      </c>
      <c r="AG463" s="306">
        <f t="shared" ca="1" si="230"/>
        <v>-13.032285337859591</v>
      </c>
      <c r="AH463" s="304">
        <f t="shared" ca="1" si="231"/>
        <v>-3.3811270860842066</v>
      </c>
    </row>
    <row r="464" spans="1:34" x14ac:dyDescent="0.2">
      <c r="A464" s="347">
        <f t="shared" ca="1" si="209"/>
        <v>0.1</v>
      </c>
      <c r="B464" s="304">
        <f t="shared" ca="1" si="210"/>
        <v>9.9999999999999378</v>
      </c>
      <c r="D464" s="306">
        <f t="shared" ca="1" si="211"/>
        <v>-0.59476556754142751</v>
      </c>
      <c r="E464" s="307">
        <f t="shared" ca="1" si="212"/>
        <v>-13.039648209284625</v>
      </c>
      <c r="F464" s="304">
        <f t="shared" ca="1" si="213"/>
        <v>13.053205411018116</v>
      </c>
      <c r="G464" s="306">
        <f t="shared" ca="1" si="214"/>
        <v>16.531863528693538</v>
      </c>
      <c r="H464" s="307">
        <f t="shared" ca="1" si="215"/>
        <v>88.788997382815822</v>
      </c>
      <c r="I464" s="304">
        <f t="shared" ca="1" si="216"/>
        <v>90.314941000794676</v>
      </c>
      <c r="J464" s="306">
        <f t="shared" ca="1" si="217"/>
        <v>177.86239416479489</v>
      </c>
      <c r="K464" s="307">
        <f t="shared" ca="1" si="218"/>
        <v>1390.6808339978538</v>
      </c>
      <c r="L464" s="304">
        <f t="shared" ca="1" si="203"/>
        <v>1402.0086352469443</v>
      </c>
      <c r="M464" s="306">
        <f t="shared" ca="1" si="219"/>
        <v>1.3867115722880456</v>
      </c>
      <c r="N464" s="304">
        <f t="shared" ca="1" si="220"/>
        <v>79.452720494055583</v>
      </c>
      <c r="P464" s="310">
        <f t="shared" ca="1" si="221"/>
        <v>23</v>
      </c>
      <c r="Q464" s="304">
        <f t="shared" ca="1" si="222"/>
        <v>0</v>
      </c>
      <c r="R464" s="306">
        <f t="shared" ca="1" si="223"/>
        <v>0</v>
      </c>
      <c r="S464" s="307">
        <f t="shared" ca="1" si="224"/>
        <v>6.8519999999999914</v>
      </c>
      <c r="T464" s="304">
        <f t="shared" ca="1" si="204"/>
        <v>67.218119999999914</v>
      </c>
      <c r="U464" s="311">
        <f t="shared" ca="1" si="205"/>
        <v>0</v>
      </c>
      <c r="V464" s="306">
        <f t="shared" ca="1" si="206"/>
        <v>1.065717176337863</v>
      </c>
      <c r="W464" s="304">
        <f t="shared" ca="1" si="207"/>
        <v>21.851310563270928</v>
      </c>
      <c r="Y464" s="314" t="str">
        <f t="shared" ca="1" si="225"/>
        <v/>
      </c>
      <c r="Z464" s="315" t="str">
        <f t="shared" ca="1" si="226"/>
        <v/>
      </c>
      <c r="AA464" s="316" t="str">
        <f t="shared" ca="1" si="227"/>
        <v/>
      </c>
      <c r="AC464" s="310">
        <f t="shared" ca="1" si="228"/>
        <v>9.9999999999999378</v>
      </c>
      <c r="AD464" s="323">
        <f t="shared" ca="1" si="229"/>
        <v>177.86239416479489</v>
      </c>
      <c r="AE464" s="324">
        <f t="shared" ca="1" si="208"/>
        <v>1390.6808339978538</v>
      </c>
      <c r="AG464" s="306">
        <f t="shared" ca="1" si="230"/>
        <v>-12.931723056824781</v>
      </c>
      <c r="AH464" s="304">
        <f t="shared" ca="1" si="231"/>
        <v>-3.2839570088641934</v>
      </c>
    </row>
    <row r="465" spans="1:34" x14ac:dyDescent="0.2">
      <c r="A465" s="347">
        <f t="shared" ca="1" si="209"/>
        <v>0.1</v>
      </c>
      <c r="B465" s="304">
        <f t="shared" ca="1" si="210"/>
        <v>10.099999999999937</v>
      </c>
      <c r="D465" s="306">
        <f t="shared" ca="1" si="211"/>
        <v>-0.58374388502033359</v>
      </c>
      <c r="E465" s="307">
        <f t="shared" ca="1" si="212"/>
        <v>-12.945159819662575</v>
      </c>
      <c r="F465" s="304">
        <f t="shared" ca="1" si="213"/>
        <v>12.958314692887537</v>
      </c>
      <c r="G465" s="306">
        <f t="shared" ca="1" si="214"/>
        <v>16.473489140191504</v>
      </c>
      <c r="H465" s="307">
        <f t="shared" ca="1" si="215"/>
        <v>87.494481400849565</v>
      </c>
      <c r="I465" s="304">
        <f t="shared" ca="1" si="216"/>
        <v>89.031792748745758</v>
      </c>
      <c r="J465" s="306">
        <f t="shared" ca="1" si="217"/>
        <v>179.51266179823915</v>
      </c>
      <c r="K465" s="307">
        <f t="shared" ca="1" si="218"/>
        <v>1399.4950079370371</v>
      </c>
      <c r="L465" s="304">
        <f t="shared" ca="1" si="203"/>
        <v>1410.9610458785094</v>
      </c>
      <c r="M465" s="306">
        <f t="shared" ca="1" si="219"/>
        <v>1.3846946628774408</v>
      </c>
      <c r="N465" s="304">
        <f t="shared" ca="1" si="220"/>
        <v>79.337160097167711</v>
      </c>
      <c r="P465" s="310">
        <f t="shared" ca="1" si="221"/>
        <v>23</v>
      </c>
      <c r="Q465" s="304">
        <f t="shared" ca="1" si="222"/>
        <v>0</v>
      </c>
      <c r="R465" s="306">
        <f t="shared" ca="1" si="223"/>
        <v>0</v>
      </c>
      <c r="S465" s="307">
        <f t="shared" ca="1" si="224"/>
        <v>6.8519999999999914</v>
      </c>
      <c r="T465" s="304">
        <f t="shared" ca="1" si="204"/>
        <v>67.218119999999914</v>
      </c>
      <c r="U465" s="311">
        <f t="shared" ca="1" si="205"/>
        <v>0</v>
      </c>
      <c r="V465" s="306">
        <f t="shared" ca="1" si="206"/>
        <v>1.0647736596973894</v>
      </c>
      <c r="W465" s="304">
        <f t="shared" ca="1" si="207"/>
        <v>21.216017009166308</v>
      </c>
      <c r="Y465" s="314" t="str">
        <f t="shared" ca="1" si="225"/>
        <v/>
      </c>
      <c r="Z465" s="315" t="str">
        <f t="shared" ca="1" si="226"/>
        <v/>
      </c>
      <c r="AA465" s="316" t="str">
        <f t="shared" ca="1" si="227"/>
        <v/>
      </c>
      <c r="AC465" s="310" t="e">
        <f t="shared" ca="1" si="228"/>
        <v>#N/A</v>
      </c>
      <c r="AD465" s="323" t="e">
        <f t="shared" ca="1" si="229"/>
        <v>#N/A</v>
      </c>
      <c r="AE465" s="324">
        <f t="shared" ca="1" si="208"/>
        <v>1399.4950079370371</v>
      </c>
      <c r="AG465" s="306">
        <f t="shared" ca="1" si="230"/>
        <v>-12.833293392516527</v>
      </c>
      <c r="AH465" s="304">
        <f t="shared" ca="1" si="231"/>
        <v>-3.1890412380722353</v>
      </c>
    </row>
    <row r="466" spans="1:34" x14ac:dyDescent="0.2">
      <c r="A466" s="347">
        <f t="shared" ca="1" si="209"/>
        <v>0.1</v>
      </c>
      <c r="B466" s="304">
        <f t="shared" ca="1" si="210"/>
        <v>10.199999999999937</v>
      </c>
      <c r="D466" s="306">
        <f t="shared" ca="1" si="211"/>
        <v>-0.57291075627368349</v>
      </c>
      <c r="E466" s="307">
        <f t="shared" ca="1" si="212"/>
        <v>-12.85286050651148</v>
      </c>
      <c r="F466" s="304">
        <f t="shared" ca="1" si="213"/>
        <v>12.865622796215371</v>
      </c>
      <c r="G466" s="306">
        <f t="shared" ca="1" si="214"/>
        <v>16.416198064564135</v>
      </c>
      <c r="H466" s="307">
        <f t="shared" ca="1" si="215"/>
        <v>86.209195350198414</v>
      </c>
      <c r="I466" s="304">
        <f t="shared" ca="1" si="216"/>
        <v>87.758286912539887</v>
      </c>
      <c r="J466" s="306">
        <f t="shared" ca="1" si="217"/>
        <v>181.15714615847693</v>
      </c>
      <c r="K466" s="307">
        <f t="shared" ca="1" si="218"/>
        <v>1408.1801917745895</v>
      </c>
      <c r="L466" s="304">
        <f t="shared" ca="1" si="203"/>
        <v>1419.7849710821015</v>
      </c>
      <c r="M466" s="306">
        <f t="shared" ca="1" si="219"/>
        <v>1.3826263241890238</v>
      </c>
      <c r="N466" s="304">
        <f t="shared" ca="1" si="220"/>
        <v>79.218653019717792</v>
      </c>
      <c r="P466" s="310">
        <f t="shared" ca="1" si="221"/>
        <v>23</v>
      </c>
      <c r="Q466" s="304">
        <f t="shared" ca="1" si="222"/>
        <v>0</v>
      </c>
      <c r="R466" s="306">
        <f t="shared" ca="1" si="223"/>
        <v>0</v>
      </c>
      <c r="S466" s="307">
        <f t="shared" ca="1" si="224"/>
        <v>6.8519999999999914</v>
      </c>
      <c r="T466" s="304">
        <f t="shared" ca="1" si="204"/>
        <v>67.218119999999914</v>
      </c>
      <c r="U466" s="311">
        <f t="shared" ca="1" si="205"/>
        <v>0</v>
      </c>
      <c r="V466" s="306">
        <f t="shared" ca="1" si="206"/>
        <v>1.063844710809501</v>
      </c>
      <c r="W466" s="304">
        <f t="shared" ca="1" si="207"/>
        <v>20.595428477981127</v>
      </c>
      <c r="Y466" s="314" t="str">
        <f t="shared" ca="1" si="225"/>
        <v/>
      </c>
      <c r="Z466" s="315" t="str">
        <f t="shared" ca="1" si="226"/>
        <v/>
      </c>
      <c r="AA466" s="316" t="str">
        <f t="shared" ca="1" si="227"/>
        <v/>
      </c>
      <c r="AC466" s="310" t="e">
        <f t="shared" ca="1" si="228"/>
        <v>#N/A</v>
      </c>
      <c r="AD466" s="323" t="e">
        <f t="shared" ca="1" si="229"/>
        <v>#N/A</v>
      </c>
      <c r="AE466" s="324">
        <f t="shared" ca="1" si="208"/>
        <v>1408.1801917745895</v>
      </c>
      <c r="AG466" s="306">
        <f t="shared" ca="1" si="230"/>
        <v>-12.73693552208552</v>
      </c>
      <c r="AH466" s="304">
        <f t="shared" ca="1" si="231"/>
        <v>-3.0963247240464584</v>
      </c>
    </row>
    <row r="467" spans="1:34" x14ac:dyDescent="0.2">
      <c r="A467" s="347">
        <f t="shared" ca="1" si="209"/>
        <v>0.1</v>
      </c>
      <c r="B467" s="304">
        <f t="shared" ca="1" si="210"/>
        <v>10.299999999999937</v>
      </c>
      <c r="D467" s="306">
        <f t="shared" ca="1" si="211"/>
        <v>-0.56226095212917593</v>
      </c>
      <c r="E467" s="307">
        <f t="shared" ca="1" si="212"/>
        <v>-12.76269733401451</v>
      </c>
      <c r="F467" s="304">
        <f t="shared" ca="1" si="213"/>
        <v>12.775076540590678</v>
      </c>
      <c r="G467" s="306">
        <f t="shared" ca="1" si="214"/>
        <v>16.359971969351218</v>
      </c>
      <c r="H467" s="307">
        <f t="shared" ca="1" si="215"/>
        <v>84.932925616796965</v>
      </c>
      <c r="I467" s="304">
        <f t="shared" ca="1" si="216"/>
        <v>86.494222562355716</v>
      </c>
      <c r="J467" s="306">
        <f t="shared" ca="1" si="217"/>
        <v>182.7959546601727</v>
      </c>
      <c r="K467" s="307">
        <f t="shared" ca="1" si="218"/>
        <v>1416.7372978229394</v>
      </c>
      <c r="L467" s="304">
        <f t="shared" ca="1" si="203"/>
        <v>1428.4813376739537</v>
      </c>
      <c r="M467" s="306">
        <f t="shared" ca="1" si="219"/>
        <v>1.3805047086867339</v>
      </c>
      <c r="N467" s="304">
        <f t="shared" ca="1" si="220"/>
        <v>79.097093405687048</v>
      </c>
      <c r="P467" s="310">
        <f t="shared" ca="1" si="221"/>
        <v>23</v>
      </c>
      <c r="Q467" s="304">
        <f t="shared" ca="1" si="222"/>
        <v>0</v>
      </c>
      <c r="R467" s="306">
        <f t="shared" ca="1" si="223"/>
        <v>0</v>
      </c>
      <c r="S467" s="307">
        <f t="shared" ca="1" si="224"/>
        <v>6.8519999999999914</v>
      </c>
      <c r="T467" s="304">
        <f t="shared" ca="1" si="204"/>
        <v>67.218119999999914</v>
      </c>
      <c r="U467" s="311">
        <f t="shared" ca="1" si="205"/>
        <v>0</v>
      </c>
      <c r="V467" s="306">
        <f t="shared" ca="1" si="206"/>
        <v>1.0629301977048093</v>
      </c>
      <c r="W467" s="304">
        <f t="shared" ca="1" si="207"/>
        <v>19.989193098453089</v>
      </c>
      <c r="Y467" s="314" t="str">
        <f t="shared" ca="1" si="225"/>
        <v/>
      </c>
      <c r="Z467" s="315" t="str">
        <f t="shared" ca="1" si="226"/>
        <v/>
      </c>
      <c r="AA467" s="316" t="str">
        <f t="shared" ca="1" si="227"/>
        <v/>
      </c>
      <c r="AC467" s="310" t="e">
        <f t="shared" ca="1" si="228"/>
        <v>#N/A</v>
      </c>
      <c r="AD467" s="323" t="e">
        <f t="shared" ca="1" si="229"/>
        <v>#N/A</v>
      </c>
      <c r="AE467" s="324">
        <f t="shared" ca="1" si="208"/>
        <v>1416.7372978229394</v>
      </c>
      <c r="AG467" s="306">
        <f t="shared" ca="1" si="230"/>
        <v>-12.642590162720001</v>
      </c>
      <c r="AH467" s="304">
        <f t="shared" ca="1" si="231"/>
        <v>-3.0057543020988255</v>
      </c>
    </row>
    <row r="468" spans="1:34" x14ac:dyDescent="0.2">
      <c r="A468" s="347">
        <f t="shared" ca="1" si="209"/>
        <v>0.1</v>
      </c>
      <c r="B468" s="304">
        <f t="shared" ca="1" si="210"/>
        <v>10.399999999999936</v>
      </c>
      <c r="D468" s="306">
        <f t="shared" ca="1" si="211"/>
        <v>-0.55178941462550879</v>
      </c>
      <c r="E468" s="307">
        <f t="shared" ca="1" si="212"/>
        <v>-12.674619169050006</v>
      </c>
      <c r="F468" s="304">
        <f t="shared" ca="1" si="213"/>
        <v>12.686624556537591</v>
      </c>
      <c r="G468" s="306">
        <f t="shared" ca="1" si="214"/>
        <v>16.304793027888667</v>
      </c>
      <c r="H468" s="307">
        <f t="shared" ca="1" si="215"/>
        <v>83.665463699891959</v>
      </c>
      <c r="I468" s="304">
        <f t="shared" ca="1" si="216"/>
        <v>85.239404572065297</v>
      </c>
      <c r="J468" s="306">
        <f t="shared" ca="1" si="217"/>
        <v>184.42919291003469</v>
      </c>
      <c r="K468" s="307">
        <f t="shared" ca="1" si="218"/>
        <v>1425.1672172887738</v>
      </c>
      <c r="L468" s="304">
        <f t="shared" ca="1" si="203"/>
        <v>1437.0510514355688</v>
      </c>
      <c r="M468" s="306">
        <f t="shared" ca="1" si="219"/>
        <v>1.3783278792643927</v>
      </c>
      <c r="N468" s="304">
        <f t="shared" ca="1" si="220"/>
        <v>78.972370267066992</v>
      </c>
      <c r="P468" s="310">
        <f t="shared" ca="1" si="221"/>
        <v>23</v>
      </c>
      <c r="Q468" s="304">
        <f t="shared" ca="1" si="222"/>
        <v>0</v>
      </c>
      <c r="R468" s="306">
        <f t="shared" ca="1" si="223"/>
        <v>0</v>
      </c>
      <c r="S468" s="307">
        <f t="shared" ca="1" si="224"/>
        <v>6.8519999999999914</v>
      </c>
      <c r="T468" s="304">
        <f t="shared" ca="1" si="204"/>
        <v>67.218119999999914</v>
      </c>
      <c r="U468" s="311">
        <f t="shared" ca="1" si="205"/>
        <v>0</v>
      </c>
      <c r="V468" s="306">
        <f t="shared" ca="1" si="206"/>
        <v>1.0620299915540476</v>
      </c>
      <c r="W468" s="304">
        <f t="shared" ca="1" si="207"/>
        <v>19.39697093319468</v>
      </c>
      <c r="Y468" s="314" t="str">
        <f t="shared" ca="1" si="225"/>
        <v/>
      </c>
      <c r="Z468" s="315" t="str">
        <f t="shared" ca="1" si="226"/>
        <v/>
      </c>
      <c r="AA468" s="316" t="str">
        <f t="shared" ca="1" si="227"/>
        <v/>
      </c>
      <c r="AC468" s="310" t="e">
        <f t="shared" ca="1" si="228"/>
        <v>#N/A</v>
      </c>
      <c r="AD468" s="323" t="e">
        <f t="shared" ca="1" si="229"/>
        <v>#N/A</v>
      </c>
      <c r="AE468" s="324">
        <f t="shared" ca="1" si="208"/>
        <v>1425.1672172887738</v>
      </c>
      <c r="AG468" s="306">
        <f t="shared" ca="1" si="230"/>
        <v>-12.550199473494715</v>
      </c>
      <c r="AH468" s="304">
        <f t="shared" ca="1" si="231"/>
        <v>-2.9172786191554456</v>
      </c>
    </row>
    <row r="469" spans="1:34" x14ac:dyDescent="0.2">
      <c r="A469" s="347">
        <f t="shared" ca="1" si="209"/>
        <v>0.1</v>
      </c>
      <c r="B469" s="304">
        <f t="shared" ca="1" si="210"/>
        <v>10.499999999999936</v>
      </c>
      <c r="D469" s="306">
        <f t="shared" ca="1" si="211"/>
        <v>-0.54149125050168456</v>
      </c>
      <c r="E469" s="307">
        <f t="shared" ca="1" si="212"/>
        <v>-12.588576611501111</v>
      </c>
      <c r="F469" s="304">
        <f t="shared" ca="1" si="213"/>
        <v>12.600217215508735</v>
      </c>
      <c r="G469" s="306">
        <f t="shared" ca="1" si="214"/>
        <v>16.250643902838497</v>
      </c>
      <c r="H469" s="307">
        <f t="shared" ca="1" si="215"/>
        <v>82.406606038741842</v>
      </c>
      <c r="I469" s="304">
        <f t="shared" ca="1" si="216"/>
        <v>83.993643486166647</v>
      </c>
      <c r="J469" s="306">
        <f t="shared" ca="1" si="217"/>
        <v>186.05696475657103</v>
      </c>
      <c r="K469" s="307">
        <f t="shared" ca="1" si="218"/>
        <v>1433.4708207757055</v>
      </c>
      <c r="L469" s="304">
        <f t="shared" ca="1" si="203"/>
        <v>1445.4949976218536</v>
      </c>
      <c r="M469" s="306">
        <f t="shared" ca="1" si="219"/>
        <v>1.3760938038409218</v>
      </c>
      <c r="N469" s="304">
        <f t="shared" ca="1" si="220"/>
        <v>78.844367174188207</v>
      </c>
      <c r="P469" s="310">
        <f t="shared" ca="1" si="221"/>
        <v>23</v>
      </c>
      <c r="Q469" s="304">
        <f t="shared" ca="1" si="222"/>
        <v>0</v>
      </c>
      <c r="R469" s="306">
        <f t="shared" ca="1" si="223"/>
        <v>0</v>
      </c>
      <c r="S469" s="307">
        <f t="shared" ca="1" si="224"/>
        <v>6.8519999999999914</v>
      </c>
      <c r="T469" s="304">
        <f t="shared" ca="1" si="204"/>
        <v>67.218119999999914</v>
      </c>
      <c r="U469" s="311">
        <f t="shared" ca="1" si="205"/>
        <v>0</v>
      </c>
      <c r="V469" s="306">
        <f t="shared" ca="1" si="206"/>
        <v>1.0611439665900375</v>
      </c>
      <c r="W469" s="304">
        <f t="shared" ca="1" si="207"/>
        <v>18.818433521522266</v>
      </c>
      <c r="Y469" s="314" t="str">
        <f t="shared" ca="1" si="225"/>
        <v/>
      </c>
      <c r="Z469" s="315" t="str">
        <f t="shared" ca="1" si="226"/>
        <v/>
      </c>
      <c r="AA469" s="316" t="str">
        <f t="shared" ca="1" si="227"/>
        <v/>
      </c>
      <c r="AC469" s="310" t="e">
        <f t="shared" ca="1" si="228"/>
        <v>#N/A</v>
      </c>
      <c r="AD469" s="323" t="e">
        <f t="shared" ca="1" si="229"/>
        <v>#N/A</v>
      </c>
      <c r="AE469" s="324">
        <f t="shared" ca="1" si="208"/>
        <v>1433.4708207757055</v>
      </c>
      <c r="AG469" s="306">
        <f t="shared" ca="1" si="230"/>
        <v>-12.459706958543864</v>
      </c>
      <c r="AH469" s="304">
        <f t="shared" ca="1" si="231"/>
        <v>-2.8308480638054152</v>
      </c>
    </row>
    <row r="470" spans="1:34" x14ac:dyDescent="0.2">
      <c r="A470" s="347">
        <f t="shared" ca="1" si="209"/>
        <v>0.1</v>
      </c>
      <c r="B470" s="304">
        <f t="shared" ca="1" si="210"/>
        <v>10.599999999999936</v>
      </c>
      <c r="D470" s="306">
        <f t="shared" ca="1" si="211"/>
        <v>-0.53136172500656642</v>
      </c>
      <c r="E470" s="307">
        <f t="shared" ca="1" si="212"/>
        <v>-12.50452192777629</v>
      </c>
      <c r="F470" s="304">
        <f t="shared" ca="1" si="213"/>
        <v>12.515806563104114</v>
      </c>
      <c r="G470" s="306">
        <f t="shared" ca="1" si="214"/>
        <v>16.19750773033784</v>
      </c>
      <c r="H470" s="307">
        <f t="shared" ca="1" si="215"/>
        <v>81.156153845964212</v>
      </c>
      <c r="I470" s="304">
        <f t="shared" ca="1" si="216"/>
        <v>82.756755396427707</v>
      </c>
      <c r="J470" s="306">
        <f t="shared" ca="1" si="217"/>
        <v>187.67937233822985</v>
      </c>
      <c r="K470" s="307">
        <f t="shared" ca="1" si="218"/>
        <v>1441.6489587699409</v>
      </c>
      <c r="L470" s="304">
        <f t="shared" ca="1" si="203"/>
        <v>1453.8140414522506</v>
      </c>
      <c r="M470" s="306">
        <f t="shared" ca="1" si="219"/>
        <v>1.3738003495645659</v>
      </c>
      <c r="N470" s="304">
        <f t="shared" ca="1" si="220"/>
        <v>78.712961923646787</v>
      </c>
      <c r="P470" s="310">
        <f t="shared" ca="1" si="221"/>
        <v>23</v>
      </c>
      <c r="Q470" s="304">
        <f t="shared" ca="1" si="222"/>
        <v>0</v>
      </c>
      <c r="R470" s="306">
        <f t="shared" ca="1" si="223"/>
        <v>0</v>
      </c>
      <c r="S470" s="307">
        <f t="shared" ca="1" si="224"/>
        <v>6.8519999999999914</v>
      </c>
      <c r="T470" s="304">
        <f t="shared" ca="1" si="204"/>
        <v>67.218119999999914</v>
      </c>
      <c r="U470" s="311">
        <f t="shared" ca="1" si="205"/>
        <v>0</v>
      </c>
      <c r="V470" s="306">
        <f t="shared" ca="1" si="206"/>
        <v>1.0602720000323624</v>
      </c>
      <c r="W470" s="304">
        <f t="shared" ca="1" si="207"/>
        <v>18.25326344327021</v>
      </c>
      <c r="Y470" s="314" t="str">
        <f t="shared" ca="1" si="225"/>
        <v/>
      </c>
      <c r="Z470" s="315" t="str">
        <f t="shared" ca="1" si="226"/>
        <v/>
      </c>
      <c r="AA470" s="316" t="str">
        <f t="shared" ca="1" si="227"/>
        <v/>
      </c>
      <c r="AC470" s="310" t="e">
        <f t="shared" ca="1" si="228"/>
        <v>#N/A</v>
      </c>
      <c r="AD470" s="323" t="e">
        <f t="shared" ca="1" si="229"/>
        <v>#N/A</v>
      </c>
      <c r="AE470" s="324">
        <f t="shared" ca="1" si="208"/>
        <v>1441.6489587699409</v>
      </c>
      <c r="AG470" s="306">
        <f t="shared" ca="1" si="230"/>
        <v>-12.37105737117931</v>
      </c>
      <c r="AH470" s="304">
        <f t="shared" ca="1" si="231"/>
        <v>-2.7464146995800189</v>
      </c>
    </row>
    <row r="471" spans="1:34" x14ac:dyDescent="0.2">
      <c r="A471" s="347">
        <f t="shared" ca="1" si="209"/>
        <v>0.1</v>
      </c>
      <c r="B471" s="304">
        <f t="shared" ca="1" si="210"/>
        <v>10.699999999999935</v>
      </c>
      <c r="D471" s="306">
        <f t="shared" ca="1" si="211"/>
        <v>-0.52139625601400641</v>
      </c>
      <c r="E471" s="307">
        <f t="shared" ca="1" si="212"/>
        <v>-12.422408987373261</v>
      </c>
      <c r="F471" s="304">
        <f t="shared" ca="1" si="213"/>
        <v>12.433346255347246</v>
      </c>
      <c r="G471" s="306">
        <f t="shared" ca="1" si="214"/>
        <v>16.145368104736438</v>
      </c>
      <c r="H471" s="307">
        <f t="shared" ca="1" si="215"/>
        <v>79.913912947226891</v>
      </c>
      <c r="I471" s="304">
        <f t="shared" ca="1" si="216"/>
        <v>81.528561828198576</v>
      </c>
      <c r="J471" s="306">
        <f t="shared" ca="1" si="217"/>
        <v>189.29651612998356</v>
      </c>
      <c r="K471" s="307">
        <f t="shared" ca="1" si="218"/>
        <v>1449.7024621096004</v>
      </c>
      <c r="L471" s="304">
        <f t="shared" ca="1" si="203"/>
        <v>1462.0090285855238</v>
      </c>
      <c r="M471" s="306">
        <f t="shared" ca="1" si="219"/>
        <v>1.3714452765932412</v>
      </c>
      <c r="N471" s="304">
        <f t="shared" ca="1" si="220"/>
        <v>78.578026181944551</v>
      </c>
      <c r="P471" s="310">
        <f t="shared" ca="1" si="221"/>
        <v>23</v>
      </c>
      <c r="Q471" s="304">
        <f t="shared" ca="1" si="222"/>
        <v>0</v>
      </c>
      <c r="R471" s="306">
        <f t="shared" ca="1" si="223"/>
        <v>0</v>
      </c>
      <c r="S471" s="307">
        <f t="shared" ca="1" si="224"/>
        <v>6.8519999999999914</v>
      </c>
      <c r="T471" s="304">
        <f t="shared" ca="1" si="204"/>
        <v>67.218119999999914</v>
      </c>
      <c r="U471" s="311">
        <f t="shared" ca="1" si="205"/>
        <v>0</v>
      </c>
      <c r="V471" s="306">
        <f t="shared" ca="1" si="206"/>
        <v>1.0594139720146405</v>
      </c>
      <c r="W471" s="304">
        <f t="shared" ca="1" si="207"/>
        <v>17.701153902508267</v>
      </c>
      <c r="Y471" s="314" t="str">
        <f t="shared" ca="1" si="225"/>
        <v/>
      </c>
      <c r="Z471" s="315" t="str">
        <f t="shared" ca="1" si="226"/>
        <v/>
      </c>
      <c r="AA471" s="316" t="str">
        <f t="shared" ca="1" si="227"/>
        <v/>
      </c>
      <c r="AC471" s="310" t="e">
        <f t="shared" ca="1" si="228"/>
        <v>#N/A</v>
      </c>
      <c r="AD471" s="323" t="e">
        <f t="shared" ca="1" si="229"/>
        <v>#N/A</v>
      </c>
      <c r="AE471" s="324">
        <f t="shared" ca="1" si="208"/>
        <v>1449.7024621096004</v>
      </c>
      <c r="AG471" s="306">
        <f t="shared" ca="1" si="230"/>
        <v>-12.284196618563803</v>
      </c>
      <c r="AH471" s="304">
        <f t="shared" ca="1" si="231"/>
        <v>-2.6639322012945468</v>
      </c>
    </row>
    <row r="472" spans="1:34" x14ac:dyDescent="0.2">
      <c r="A472" s="347">
        <f t="shared" ca="1" si="209"/>
        <v>0.1</v>
      </c>
      <c r="B472" s="304">
        <f t="shared" ca="1" si="210"/>
        <v>10.799999999999935</v>
      </c>
      <c r="D472" s="306">
        <f t="shared" ca="1" si="211"/>
        <v>-0.51159040842994452</v>
      </c>
      <c r="E472" s="307">
        <f t="shared" ca="1" si="212"/>
        <v>-12.342193202328614</v>
      </c>
      <c r="F472" s="304">
        <f t="shared" ca="1" si="213"/>
        <v>12.352791497860077</v>
      </c>
      <c r="G472" s="306">
        <f t="shared" ca="1" si="214"/>
        <v>16.094209063893445</v>
      </c>
      <c r="H472" s="307">
        <f t="shared" ca="1" si="215"/>
        <v>78.679693626994023</v>
      </c>
      <c r="I472" s="304">
        <f t="shared" ca="1" si="216"/>
        <v>80.308889636390532</v>
      </c>
      <c r="J472" s="306">
        <f t="shared" ca="1" si="217"/>
        <v>190.90849498841504</v>
      </c>
      <c r="K472" s="307">
        <f t="shared" ca="1" si="218"/>
        <v>1457.6321424383116</v>
      </c>
      <c r="L472" s="304">
        <f t="shared" ca="1" si="203"/>
        <v>1470.0807855788212</v>
      </c>
      <c r="M472" s="306">
        <f t="shared" ca="1" si="219"/>
        <v>1.3690262314149988</v>
      </c>
      <c r="N472" s="304">
        <f t="shared" ca="1" si="220"/>
        <v>78.439425102779794</v>
      </c>
      <c r="P472" s="310">
        <f t="shared" ca="1" si="221"/>
        <v>23</v>
      </c>
      <c r="Q472" s="304">
        <f t="shared" ca="1" si="222"/>
        <v>0</v>
      </c>
      <c r="R472" s="306">
        <f t="shared" ca="1" si="223"/>
        <v>0</v>
      </c>
      <c r="S472" s="307">
        <f t="shared" ca="1" si="224"/>
        <v>6.8519999999999914</v>
      </c>
      <c r="T472" s="304">
        <f t="shared" ca="1" si="204"/>
        <v>67.218119999999914</v>
      </c>
      <c r="U472" s="311">
        <f t="shared" ca="1" si="205"/>
        <v>0</v>
      </c>
      <c r="V472" s="306">
        <f t="shared" ca="1" si="206"/>
        <v>1.0585697655143018</v>
      </c>
      <c r="W472" s="304">
        <f t="shared" ca="1" si="207"/>
        <v>17.161808330143504</v>
      </c>
      <c r="Y472" s="314" t="str">
        <f t="shared" ca="1" si="225"/>
        <v/>
      </c>
      <c r="Z472" s="315" t="str">
        <f t="shared" ca="1" si="226"/>
        <v/>
      </c>
      <c r="AA472" s="316" t="str">
        <f t="shared" ca="1" si="227"/>
        <v/>
      </c>
      <c r="AC472" s="310" t="e">
        <f t="shared" ca="1" si="228"/>
        <v>#N/A</v>
      </c>
      <c r="AD472" s="323" t="e">
        <f t="shared" ca="1" si="229"/>
        <v>#N/A</v>
      </c>
      <c r="AE472" s="324">
        <f t="shared" ca="1" si="208"/>
        <v>1457.6321424383116</v>
      </c>
      <c r="AG472" s="306">
        <f t="shared" ca="1" si="230"/>
        <v>-12.199071666534682</v>
      </c>
      <c r="AH472" s="304">
        <f t="shared" ca="1" si="231"/>
        <v>-2.5833557942948464</v>
      </c>
    </row>
    <row r="473" spans="1:34" x14ac:dyDescent="0.2">
      <c r="A473" s="347">
        <f t="shared" ca="1" si="209"/>
        <v>0.1</v>
      </c>
      <c r="B473" s="304">
        <f t="shared" ca="1" si="210"/>
        <v>10.899999999999935</v>
      </c>
      <c r="D473" s="306">
        <f t="shared" ca="1" si="211"/>
        <v>-0.50193988887887364</v>
      </c>
      <c r="E473" s="307">
        <f t="shared" ca="1" si="212"/>
        <v>-12.263831469404522</v>
      </c>
      <c r="F473" s="304">
        <f t="shared" ca="1" si="213"/>
        <v>12.274098987787431</v>
      </c>
      <c r="G473" s="306">
        <f t="shared" ca="1" si="214"/>
        <v>16.044015075005557</v>
      </c>
      <c r="H473" s="307">
        <f t="shared" ca="1" si="215"/>
        <v>77.453310480053574</v>
      </c>
      <c r="I473" s="304">
        <f t="shared" ca="1" si="216"/>
        <v>79.097570911163771</v>
      </c>
      <c r="J473" s="306">
        <f t="shared" ca="1" si="217"/>
        <v>192.51540619535999</v>
      </c>
      <c r="K473" s="307">
        <f t="shared" ca="1" si="218"/>
        <v>1465.4387926436639</v>
      </c>
      <c r="L473" s="304">
        <f t="shared" ca="1" si="203"/>
        <v>1478.0301203316133</v>
      </c>
      <c r="M473" s="306">
        <f t="shared" ca="1" si="219"/>
        <v>1.3665407396691058</v>
      </c>
      <c r="N473" s="304">
        <f t="shared" ca="1" si="220"/>
        <v>78.297016915725521</v>
      </c>
      <c r="P473" s="310">
        <f t="shared" ca="1" si="221"/>
        <v>23</v>
      </c>
      <c r="Q473" s="304">
        <f t="shared" ca="1" si="222"/>
        <v>0</v>
      </c>
      <c r="R473" s="306">
        <f t="shared" ca="1" si="223"/>
        <v>0</v>
      </c>
      <c r="S473" s="307">
        <f t="shared" ca="1" si="224"/>
        <v>6.8519999999999914</v>
      </c>
      <c r="T473" s="304">
        <f t="shared" ca="1" si="204"/>
        <v>67.218119999999914</v>
      </c>
      <c r="U473" s="311">
        <f t="shared" ca="1" si="205"/>
        <v>0</v>
      </c>
      <c r="V473" s="306">
        <f t="shared" ca="1" si="206"/>
        <v>1.0577392662847682</v>
      </c>
      <c r="W473" s="304">
        <f t="shared" ca="1" si="207"/>
        <v>16.634940004446445</v>
      </c>
      <c r="Y473" s="314" t="str">
        <f t="shared" ca="1" si="225"/>
        <v/>
      </c>
      <c r="Z473" s="315" t="str">
        <f t="shared" ca="1" si="226"/>
        <v/>
      </c>
      <c r="AA473" s="316" t="str">
        <f t="shared" ca="1" si="227"/>
        <v/>
      </c>
      <c r="AC473" s="310" t="e">
        <f t="shared" ca="1" si="228"/>
        <v>#N/A</v>
      </c>
      <c r="AD473" s="323" t="e">
        <f t="shared" ca="1" si="229"/>
        <v>#N/A</v>
      </c>
      <c r="AE473" s="324">
        <f t="shared" ca="1" si="208"/>
        <v>1465.4387926436639</v>
      </c>
      <c r="AG473" s="306">
        <f t="shared" ca="1" si="230"/>
        <v>-12.115630444155281</v>
      </c>
      <c r="AH473" s="304">
        <f t="shared" ca="1" si="231"/>
        <v>-2.5046421964599426</v>
      </c>
    </row>
    <row r="474" spans="1:34" x14ac:dyDescent="0.2">
      <c r="A474" s="347">
        <f t="shared" ca="1" si="209"/>
        <v>0.1</v>
      </c>
      <c r="B474" s="304">
        <f t="shared" ca="1" si="210"/>
        <v>10.999999999999934</v>
      </c>
      <c r="D474" s="306">
        <f t="shared" ca="1" si="211"/>
        <v>-0.49244054065804033</v>
      </c>
      <c r="E474" s="307">
        <f t="shared" ca="1" si="212"/>
        <v>-12.187282114872325</v>
      </c>
      <c r="F474" s="304">
        <f t="shared" ca="1" si="213"/>
        <v>12.197226858330152</v>
      </c>
      <c r="G474" s="306">
        <f t="shared" ca="1" si="214"/>
        <v>15.994771020939753</v>
      </c>
      <c r="H474" s="307">
        <f t="shared" ca="1" si="215"/>
        <v>76.234582268566342</v>
      </c>
      <c r="I474" s="304">
        <f t="shared" ca="1" si="216"/>
        <v>77.894442893412517</v>
      </c>
      <c r="J474" s="306">
        <f t="shared" ca="1" si="217"/>
        <v>194.11734550015726</v>
      </c>
      <c r="K474" s="307">
        <f t="shared" ca="1" si="218"/>
        <v>1473.1231872810949</v>
      </c>
      <c r="L474" s="304">
        <f t="shared" ca="1" si="203"/>
        <v>1485.8578225150748</v>
      </c>
      <c r="M474" s="306">
        <f t="shared" ca="1" si="219"/>
        <v>1.3639861984244075</v>
      </c>
      <c r="N474" s="304">
        <f t="shared" ca="1" si="220"/>
        <v>78.150652483812209</v>
      </c>
      <c r="P474" s="310">
        <f t="shared" ca="1" si="221"/>
        <v>23</v>
      </c>
      <c r="Q474" s="304">
        <f t="shared" ca="1" si="222"/>
        <v>0</v>
      </c>
      <c r="R474" s="306">
        <f t="shared" ca="1" si="223"/>
        <v>0</v>
      </c>
      <c r="S474" s="307">
        <f t="shared" ca="1" si="224"/>
        <v>6.8519999999999914</v>
      </c>
      <c r="T474" s="304">
        <f t="shared" ca="1" si="204"/>
        <v>67.218119999999914</v>
      </c>
      <c r="U474" s="311">
        <f t="shared" ca="1" si="205"/>
        <v>0</v>
      </c>
      <c r="V474" s="306">
        <f t="shared" ca="1" si="206"/>
        <v>1.0569223627899436</v>
      </c>
      <c r="W474" s="304">
        <f t="shared" ca="1" si="207"/>
        <v>16.12027168859662</v>
      </c>
      <c r="Y474" s="314" t="str">
        <f t="shared" ca="1" si="225"/>
        <v/>
      </c>
      <c r="Z474" s="315" t="str">
        <f t="shared" ca="1" si="226"/>
        <v/>
      </c>
      <c r="AA474" s="316" t="str">
        <f t="shared" ca="1" si="227"/>
        <v/>
      </c>
      <c r="AC474" s="310">
        <f t="shared" ca="1" si="228"/>
        <v>10.999999999999934</v>
      </c>
      <c r="AD474" s="323">
        <f t="shared" ca="1" si="229"/>
        <v>194.11734550015726</v>
      </c>
      <c r="AE474" s="324">
        <f t="shared" ca="1" si="208"/>
        <v>1473.1231872810949</v>
      </c>
      <c r="AG474" s="306">
        <f t="shared" ca="1" si="230"/>
        <v>-12.033821747549123</v>
      </c>
      <c r="AH474" s="304">
        <f t="shared" ca="1" si="231"/>
        <v>-2.4277495628205585</v>
      </c>
    </row>
    <row r="475" spans="1:34" x14ac:dyDescent="0.2">
      <c r="A475" s="347">
        <f t="shared" ca="1" si="209"/>
        <v>0.1</v>
      </c>
      <c r="B475" s="304">
        <f t="shared" ca="1" si="210"/>
        <v>11.099999999999934</v>
      </c>
      <c r="D475" s="306">
        <f t="shared" ca="1" si="211"/>
        <v>-0.48308833894869158</v>
      </c>
      <c r="E475" s="307">
        <f t="shared" ca="1" si="212"/>
        <v>-12.112504841760799</v>
      </c>
      <c r="F475" s="304">
        <f t="shared" ca="1" si="213"/>
        <v>12.122134625754121</v>
      </c>
      <c r="G475" s="306">
        <f t="shared" ca="1" si="214"/>
        <v>15.946462187044885</v>
      </c>
      <c r="H475" s="307">
        <f t="shared" ca="1" si="215"/>
        <v>75.023331784390265</v>
      </c>
      <c r="I475" s="304">
        <f t="shared" ca="1" si="216"/>
        <v>76.69934790018462</v>
      </c>
      <c r="J475" s="306">
        <f t="shared" ca="1" si="217"/>
        <v>195.71440716055648</v>
      </c>
      <c r="K475" s="307">
        <f t="shared" ca="1" si="218"/>
        <v>1480.6860829837428</v>
      </c>
      <c r="L475" s="304">
        <f t="shared" ca="1" si="203"/>
        <v>1493.5646639874512</v>
      </c>
      <c r="M475" s="306">
        <f t="shared" ca="1" si="219"/>
        <v>1.3613598678673604</v>
      </c>
      <c r="N475" s="304">
        <f t="shared" ca="1" si="220"/>
        <v>78.000174827287168</v>
      </c>
      <c r="P475" s="310">
        <f t="shared" ca="1" si="221"/>
        <v>23</v>
      </c>
      <c r="Q475" s="304">
        <f t="shared" ca="1" si="222"/>
        <v>0</v>
      </c>
      <c r="R475" s="306">
        <f t="shared" ca="1" si="223"/>
        <v>0</v>
      </c>
      <c r="S475" s="307">
        <f t="shared" ca="1" si="224"/>
        <v>6.8519999999999914</v>
      </c>
      <c r="T475" s="304">
        <f t="shared" ca="1" si="204"/>
        <v>67.218119999999914</v>
      </c>
      <c r="U475" s="311">
        <f t="shared" ca="1" si="205"/>
        <v>0</v>
      </c>
      <c r="V475" s="306">
        <f t="shared" ca="1" si="206"/>
        <v>1.0561189461409293</v>
      </c>
      <c r="W475" s="304">
        <f t="shared" ca="1" si="207"/>
        <v>15.617535284394114</v>
      </c>
      <c r="Y475" s="314" t="str">
        <f t="shared" ca="1" si="225"/>
        <v/>
      </c>
      <c r="Z475" s="315" t="str">
        <f t="shared" ca="1" si="226"/>
        <v/>
      </c>
      <c r="AA475" s="316" t="str">
        <f t="shared" ca="1" si="227"/>
        <v/>
      </c>
      <c r="AC475" s="310" t="e">
        <f t="shared" ca="1" si="228"/>
        <v>#N/A</v>
      </c>
      <c r="AD475" s="323" t="e">
        <f t="shared" ca="1" si="229"/>
        <v>#N/A</v>
      </c>
      <c r="AE475" s="324">
        <f t="shared" ca="1" si="208"/>
        <v>1480.6860829837428</v>
      </c>
      <c r="AG475" s="306">
        <f t="shared" ca="1" si="230"/>
        <v>-11.953595142545607</v>
      </c>
      <c r="AH475" s="304">
        <f t="shared" ca="1" si="231"/>
        <v>-2.3526374326615063</v>
      </c>
    </row>
    <row r="476" spans="1:34" x14ac:dyDescent="0.2">
      <c r="A476" s="347">
        <f t="shared" ca="1" si="209"/>
        <v>0.1</v>
      </c>
      <c r="B476" s="304">
        <f t="shared" ca="1" si="210"/>
        <v>11.199999999999934</v>
      </c>
      <c r="D476" s="306">
        <f t="shared" ca="1" si="211"/>
        <v>-0.47387938627457837</v>
      </c>
      <c r="E476" s="307">
        <f t="shared" ca="1" si="212"/>
        <v>-12.039460679444238</v>
      </c>
      <c r="F476" s="304">
        <f t="shared" ca="1" si="213"/>
        <v>12.048783138749734</v>
      </c>
      <c r="G476" s="306">
        <f t="shared" ca="1" si="214"/>
        <v>15.899074248417428</v>
      </c>
      <c r="H476" s="307">
        <f t="shared" ca="1" si="215"/>
        <v>73.819385716445836</v>
      </c>
      <c r="I476" s="304">
        <f t="shared" ca="1" si="216"/>
        <v>75.512133260225781</v>
      </c>
      <c r="J476" s="306">
        <f t="shared" ca="1" si="217"/>
        <v>197.30668398232959</v>
      </c>
      <c r="K476" s="307">
        <f t="shared" ca="1" si="218"/>
        <v>1488.1282188587847</v>
      </c>
      <c r="L476" s="304">
        <f t="shared" ca="1" si="203"/>
        <v>1501.151399195938</v>
      </c>
      <c r="M476" s="306">
        <f t="shared" ca="1" si="219"/>
        <v>1.3586588623473936</v>
      </c>
      <c r="N476" s="304">
        <f t="shared" ca="1" si="220"/>
        <v>77.845418610551533</v>
      </c>
      <c r="P476" s="310">
        <f t="shared" ca="1" si="221"/>
        <v>23</v>
      </c>
      <c r="Q476" s="304">
        <f t="shared" ca="1" si="222"/>
        <v>0</v>
      </c>
      <c r="R476" s="306">
        <f t="shared" ca="1" si="223"/>
        <v>0</v>
      </c>
      <c r="S476" s="307">
        <f t="shared" ca="1" si="224"/>
        <v>6.8519999999999914</v>
      </c>
      <c r="T476" s="304">
        <f t="shared" ca="1" si="204"/>
        <v>67.218119999999914</v>
      </c>
      <c r="U476" s="311">
        <f t="shared" ca="1" si="205"/>
        <v>0</v>
      </c>
      <c r="V476" s="306">
        <f t="shared" ca="1" si="206"/>
        <v>1.0553289100348799</v>
      </c>
      <c r="W476" s="304">
        <f t="shared" ca="1" si="207"/>
        <v>15.126471501332333</v>
      </c>
      <c r="Y476" s="314" t="str">
        <f t="shared" ca="1" si="225"/>
        <v/>
      </c>
      <c r="Z476" s="315" t="str">
        <f t="shared" ca="1" si="226"/>
        <v/>
      </c>
      <c r="AA476" s="316" t="str">
        <f t="shared" ca="1" si="227"/>
        <v/>
      </c>
      <c r="AC476" s="310" t="e">
        <f t="shared" ca="1" si="228"/>
        <v>#N/A</v>
      </c>
      <c r="AD476" s="323" t="e">
        <f t="shared" ca="1" si="229"/>
        <v>#N/A</v>
      </c>
      <c r="AE476" s="324">
        <f t="shared" ca="1" si="208"/>
        <v>1488.1282188587847</v>
      </c>
      <c r="AG476" s="306">
        <f t="shared" ca="1" si="230"/>
        <v>-11.87490086563462</v>
      </c>
      <c r="AH476" s="304">
        <f t="shared" ca="1" si="231"/>
        <v>-2.2792666789833818</v>
      </c>
    </row>
    <row r="477" spans="1:34" x14ac:dyDescent="0.2">
      <c r="A477" s="347">
        <f t="shared" ca="1" si="209"/>
        <v>0.1</v>
      </c>
      <c r="B477" s="304">
        <f t="shared" ca="1" si="210"/>
        <v>11.299999999999933</v>
      </c>
      <c r="D477" s="306">
        <f t="shared" ca="1" si="211"/>
        <v>-0.46480990819883006</v>
      </c>
      <c r="E477" s="307">
        <f t="shared" ca="1" si="212"/>
        <v>-11.968111935452505</v>
      </c>
      <c r="F477" s="304">
        <f t="shared" ca="1" si="213"/>
        <v>11.97713453002347</v>
      </c>
      <c r="G477" s="306">
        <f t="shared" ca="1" si="214"/>
        <v>15.852593257597544</v>
      </c>
      <c r="H477" s="307">
        <f t="shared" ca="1" si="215"/>
        <v>72.622574522900592</v>
      </c>
      <c r="I477" s="304">
        <f t="shared" ca="1" si="216"/>
        <v>74.332651259894376</v>
      </c>
      <c r="J477" s="306">
        <f t="shared" ca="1" si="217"/>
        <v>198.89426735763033</v>
      </c>
      <c r="K477" s="307">
        <f t="shared" ca="1" si="218"/>
        <v>1495.450316870752</v>
      </c>
      <c r="L477" s="304">
        <f t="shared" ca="1" si="203"/>
        <v>1508.6187655655622</v>
      </c>
      <c r="M477" s="306">
        <f t="shared" ca="1" si="219"/>
        <v>1.3558801407220038</v>
      </c>
      <c r="N477" s="304">
        <f t="shared" ca="1" si="220"/>
        <v>77.686209588974961</v>
      </c>
      <c r="P477" s="310">
        <f t="shared" ca="1" si="221"/>
        <v>23</v>
      </c>
      <c r="Q477" s="304">
        <f t="shared" ca="1" si="222"/>
        <v>0</v>
      </c>
      <c r="R477" s="306">
        <f t="shared" ca="1" si="223"/>
        <v>0</v>
      </c>
      <c r="S477" s="307">
        <f t="shared" ca="1" si="224"/>
        <v>6.8519999999999914</v>
      </c>
      <c r="T477" s="304">
        <f t="shared" ca="1" si="204"/>
        <v>67.218119999999914</v>
      </c>
      <c r="U477" s="311">
        <f t="shared" ca="1" si="205"/>
        <v>0</v>
      </c>
      <c r="V477" s="306">
        <f t="shared" ca="1" si="206"/>
        <v>1.0545521506959192</v>
      </c>
      <c r="W477" s="304">
        <f t="shared" ca="1" si="207"/>
        <v>14.646829540272298</v>
      </c>
      <c r="Y477" s="314" t="str">
        <f t="shared" ca="1" si="225"/>
        <v/>
      </c>
      <c r="Z477" s="315" t="str">
        <f t="shared" ca="1" si="226"/>
        <v/>
      </c>
      <c r="AA477" s="316" t="str">
        <f t="shared" ca="1" si="227"/>
        <v/>
      </c>
      <c r="AC477" s="310" t="e">
        <f t="shared" ca="1" si="228"/>
        <v>#N/A</v>
      </c>
      <c r="AD477" s="323" t="e">
        <f t="shared" ca="1" si="229"/>
        <v>#N/A</v>
      </c>
      <c r="AE477" s="324">
        <f t="shared" ca="1" si="208"/>
        <v>1495.450316870752</v>
      </c>
      <c r="AG477" s="306">
        <f t="shared" ca="1" si="230"/>
        <v>-11.797689722690759</v>
      </c>
      <c r="AH477" s="304">
        <f t="shared" ca="1" si="231"/>
        <v>-2.2075994602061226</v>
      </c>
    </row>
    <row r="478" spans="1:34" x14ac:dyDescent="0.2">
      <c r="A478" s="347">
        <f t="shared" ca="1" si="209"/>
        <v>0.1</v>
      </c>
      <c r="B478" s="304">
        <f t="shared" ca="1" si="210"/>
        <v>11.399999999999933</v>
      </c>
      <c r="D478" s="306">
        <f t="shared" ca="1" si="211"/>
        <v>-0.45587624925115422</v>
      </c>
      <c r="E478" s="307">
        <f t="shared" ca="1" si="212"/>
        <v>-11.898422149391582</v>
      </c>
      <c r="F478" s="304">
        <f t="shared" ca="1" si="213"/>
        <v>11.907152170009565</v>
      </c>
      <c r="G478" s="306">
        <f t="shared" ca="1" si="214"/>
        <v>15.807005632672428</v>
      </c>
      <c r="H478" s="307">
        <f t="shared" ca="1" si="215"/>
        <v>71.43273230796143</v>
      </c>
      <c r="I478" s="304">
        <f t="shared" ca="1" si="216"/>
        <v>73.160759099753847</v>
      </c>
      <c r="J478" s="306">
        <f t="shared" ca="1" si="217"/>
        <v>200.47724730214384</v>
      </c>
      <c r="K478" s="307">
        <f t="shared" ca="1" si="218"/>
        <v>1502.653082212295</v>
      </c>
      <c r="L478" s="304">
        <f t="shared" ca="1" si="203"/>
        <v>1515.9674838755463</v>
      </c>
      <c r="M478" s="306">
        <f t="shared" ca="1" si="219"/>
        <v>1.3530204959381376</v>
      </c>
      <c r="N478" s="304">
        <f t="shared" ca="1" si="220"/>
        <v>77.522364011952831</v>
      </c>
      <c r="P478" s="310">
        <f t="shared" ca="1" si="221"/>
        <v>23</v>
      </c>
      <c r="Q478" s="304">
        <f t="shared" ca="1" si="222"/>
        <v>0</v>
      </c>
      <c r="R478" s="306">
        <f t="shared" ca="1" si="223"/>
        <v>0</v>
      </c>
      <c r="S478" s="307">
        <f t="shared" ca="1" si="224"/>
        <v>6.8519999999999914</v>
      </c>
      <c r="T478" s="304">
        <f t="shared" ca="1" si="204"/>
        <v>67.218119999999914</v>
      </c>
      <c r="U478" s="311">
        <f t="shared" ca="1" si="205"/>
        <v>0</v>
      </c>
      <c r="V478" s="306">
        <f t="shared" ca="1" si="206"/>
        <v>1.0537885668180371</v>
      </c>
      <c r="W478" s="304">
        <f t="shared" ca="1" si="207"/>
        <v>14.178366791001366</v>
      </c>
      <c r="Y478" s="314" t="str">
        <f t="shared" ca="1" si="225"/>
        <v/>
      </c>
      <c r="Z478" s="315" t="str">
        <f t="shared" ca="1" si="226"/>
        <v/>
      </c>
      <c r="AA478" s="316" t="str">
        <f t="shared" ca="1" si="227"/>
        <v/>
      </c>
      <c r="AC478" s="310" t="e">
        <f t="shared" ca="1" si="228"/>
        <v>#N/A</v>
      </c>
      <c r="AD478" s="323" t="e">
        <f t="shared" ca="1" si="229"/>
        <v>#N/A</v>
      </c>
      <c r="AE478" s="324">
        <f t="shared" ca="1" si="208"/>
        <v>1502.653082212295</v>
      </c>
      <c r="AG478" s="306">
        <f t="shared" ca="1" si="230"/>
        <v>-11.721912984885197</v>
      </c>
      <c r="AH478" s="304">
        <f t="shared" ca="1" si="231"/>
        <v>-2.1375991740035487</v>
      </c>
    </row>
    <row r="479" spans="1:34" x14ac:dyDescent="0.2">
      <c r="A479" s="347">
        <f t="shared" ca="1" si="209"/>
        <v>0.1</v>
      </c>
      <c r="B479" s="304">
        <f t="shared" ca="1" si="210"/>
        <v>11.499999999999932</v>
      </c>
      <c r="D479" s="306">
        <f t="shared" ca="1" si="211"/>
        <v>-0.44707486907820115</v>
      </c>
      <c r="E479" s="307">
        <f t="shared" ca="1" si="212"/>
        <v>-11.83035604886925</v>
      </c>
      <c r="F479" s="304">
        <f t="shared" ca="1" si="213"/>
        <v>11.838800622595961</v>
      </c>
      <c r="G479" s="306">
        <f t="shared" ca="1" si="214"/>
        <v>15.762298145764609</v>
      </c>
      <c r="H479" s="307">
        <f t="shared" ca="1" si="215"/>
        <v>70.249696703074505</v>
      </c>
      <c r="I479" s="304">
        <f t="shared" ca="1" si="216"/>
        <v>71.996318862216356</v>
      </c>
      <c r="J479" s="306">
        <f t="shared" ca="1" si="217"/>
        <v>202.05571249106569</v>
      </c>
      <c r="K479" s="307">
        <f t="shared" ca="1" si="218"/>
        <v>1509.7372036628467</v>
      </c>
      <c r="L479" s="304">
        <f t="shared" ca="1" si="203"/>
        <v>1523.1982586236054</v>
      </c>
      <c r="M479" s="306">
        <f t="shared" ca="1" si="219"/>
        <v>1.350076543779924</v>
      </c>
      <c r="N479" s="304">
        <f t="shared" ca="1" si="220"/>
        <v>77.353687978198764</v>
      </c>
      <c r="P479" s="310">
        <f t="shared" ca="1" si="221"/>
        <v>23</v>
      </c>
      <c r="Q479" s="304">
        <f t="shared" ca="1" si="222"/>
        <v>0</v>
      </c>
      <c r="R479" s="306">
        <f t="shared" ca="1" si="223"/>
        <v>0</v>
      </c>
      <c r="S479" s="307">
        <f t="shared" ca="1" si="224"/>
        <v>6.8519999999999914</v>
      </c>
      <c r="T479" s="304">
        <f t="shared" ca="1" si="204"/>
        <v>67.218119999999914</v>
      </c>
      <c r="U479" s="311">
        <f t="shared" ca="1" si="205"/>
        <v>0</v>
      </c>
      <c r="V479" s="306">
        <f t="shared" ca="1" si="206"/>
        <v>1.0530380595098994</v>
      </c>
      <c r="W479" s="304">
        <f t="shared" ca="1" si="207"/>
        <v>13.720848542999484</v>
      </c>
      <c r="Y479" s="314" t="str">
        <f t="shared" ca="1" si="225"/>
        <v/>
      </c>
      <c r="Z479" s="315" t="str">
        <f t="shared" ca="1" si="226"/>
        <v/>
      </c>
      <c r="AA479" s="316" t="str">
        <f t="shared" ca="1" si="227"/>
        <v/>
      </c>
      <c r="AC479" s="310" t="e">
        <f t="shared" ca="1" si="228"/>
        <v>#N/A</v>
      </c>
      <c r="AD479" s="323" t="e">
        <f t="shared" ca="1" si="229"/>
        <v>#N/A</v>
      </c>
      <c r="AE479" s="324">
        <f t="shared" ca="1" si="208"/>
        <v>1509.7372036628467</v>
      </c>
      <c r="AG479" s="306">
        <f t="shared" ca="1" si="230"/>
        <v>-11.647522281153613</v>
      </c>
      <c r="AH479" s="304">
        <f t="shared" ca="1" si="231"/>
        <v>-2.0692304131642416</v>
      </c>
    </row>
    <row r="480" spans="1:34" x14ac:dyDescent="0.2">
      <c r="A480" s="347">
        <f t="shared" ca="1" si="209"/>
        <v>0.1</v>
      </c>
      <c r="B480" s="304">
        <f t="shared" ca="1" si="210"/>
        <v>11.599999999999932</v>
      </c>
      <c r="D480" s="306">
        <f t="shared" ca="1" si="211"/>
        <v>-0.43840233881077223</v>
      </c>
      <c r="E480" s="307">
        <f t="shared" ca="1" si="212"/>
        <v>-11.763879507326202</v>
      </c>
      <c r="F480" s="304">
        <f t="shared" ca="1" si="213"/>
        <v>11.772045602764377</v>
      </c>
      <c r="G480" s="306">
        <f t="shared" ca="1" si="214"/>
        <v>15.718457911883531</v>
      </c>
      <c r="H480" s="307">
        <f t="shared" ca="1" si="215"/>
        <v>69.073308752341887</v>
      </c>
      <c r="I480" s="304">
        <f t="shared" ca="1" si="216"/>
        <v>70.839197490683105</v>
      </c>
      <c r="J480" s="306">
        <f t="shared" ca="1" si="217"/>
        <v>203.62975029394809</v>
      </c>
      <c r="K480" s="307">
        <f t="shared" ca="1" si="218"/>
        <v>1516.7033539356175</v>
      </c>
      <c r="L480" s="304">
        <f t="shared" ca="1" si="203"/>
        <v>1530.3117783786174</v>
      </c>
      <c r="M480" s="306">
        <f t="shared" ca="1" si="219"/>
        <v>1.3470447107055772</v>
      </c>
      <c r="N480" s="304">
        <f t="shared" ca="1" si="220"/>
        <v>77.179976738850513</v>
      </c>
      <c r="P480" s="310">
        <f t="shared" ca="1" si="221"/>
        <v>23</v>
      </c>
      <c r="Q480" s="304">
        <f t="shared" ca="1" si="222"/>
        <v>0</v>
      </c>
      <c r="R480" s="306">
        <f t="shared" ca="1" si="223"/>
        <v>0</v>
      </c>
      <c r="S480" s="307">
        <f t="shared" ca="1" si="224"/>
        <v>6.8519999999999914</v>
      </c>
      <c r="T480" s="304">
        <f t="shared" ca="1" si="204"/>
        <v>67.218119999999914</v>
      </c>
      <c r="U480" s="311">
        <f t="shared" ca="1" si="205"/>
        <v>0</v>
      </c>
      <c r="V480" s="306">
        <f t="shared" ca="1" si="206"/>
        <v>1.052300532241498</v>
      </c>
      <c r="W480" s="304">
        <f t="shared" ca="1" si="207"/>
        <v>13.274047708773145</v>
      </c>
      <c r="Y480" s="314" t="str">
        <f t="shared" ca="1" si="225"/>
        <v/>
      </c>
      <c r="Z480" s="315" t="str">
        <f t="shared" ca="1" si="226"/>
        <v/>
      </c>
      <c r="AA480" s="316" t="str">
        <f t="shared" ca="1" si="227"/>
        <v/>
      </c>
      <c r="AC480" s="310" t="e">
        <f t="shared" ca="1" si="228"/>
        <v>#N/A</v>
      </c>
      <c r="AD480" s="323" t="e">
        <f t="shared" ca="1" si="229"/>
        <v>#N/A</v>
      </c>
      <c r="AE480" s="324">
        <f t="shared" ca="1" si="208"/>
        <v>1516.7033539356175</v>
      </c>
      <c r="AG480" s="306">
        <f t="shared" ca="1" si="230"/>
        <v>-11.574469486531493</v>
      </c>
      <c r="AH480" s="304">
        <f t="shared" ca="1" si="231"/>
        <v>-2.0024589233799621</v>
      </c>
    </row>
    <row r="481" spans="1:34" x14ac:dyDescent="0.2">
      <c r="A481" s="347">
        <f t="shared" ca="1" si="209"/>
        <v>0.1</v>
      </c>
      <c r="B481" s="304">
        <f t="shared" ca="1" si="210"/>
        <v>11.699999999999932</v>
      </c>
      <c r="D481" s="306">
        <f t="shared" ca="1" si="211"/>
        <v>-0.42985533764241024</v>
      </c>
      <c r="E481" s="307">
        <f t="shared" ca="1" si="212"/>
        <v>-11.698959503678086</v>
      </c>
      <c r="F481" s="304">
        <f t="shared" ca="1" si="213"/>
        <v>11.706853936049576</v>
      </c>
      <c r="G481" s="306">
        <f t="shared" ca="1" si="214"/>
        <v>15.67547237811929</v>
      </c>
      <c r="H481" s="307">
        <f t="shared" ca="1" si="215"/>
        <v>67.903412801974085</v>
      </c>
      <c r="I481" s="304">
        <f t="shared" ca="1" si="216"/>
        <v>69.689266780706475</v>
      </c>
      <c r="J481" s="306">
        <f t="shared" ca="1" si="217"/>
        <v>205.19944680844824</v>
      </c>
      <c r="K481" s="307">
        <f t="shared" ca="1" si="218"/>
        <v>1523.5521900133333</v>
      </c>
      <c r="L481" s="304">
        <f t="shared" ca="1" si="203"/>
        <v>1537.3087161220799</v>
      </c>
      <c r="M481" s="306">
        <f t="shared" ca="1" si="219"/>
        <v>1.3439212206882254</v>
      </c>
      <c r="N481" s="304">
        <f t="shared" ca="1" si="220"/>
        <v>77.001013943505015</v>
      </c>
      <c r="P481" s="310">
        <f t="shared" ca="1" si="221"/>
        <v>23</v>
      </c>
      <c r="Q481" s="304">
        <f t="shared" ca="1" si="222"/>
        <v>0</v>
      </c>
      <c r="R481" s="306">
        <f t="shared" ca="1" si="223"/>
        <v>0</v>
      </c>
      <c r="S481" s="307">
        <f t="shared" ca="1" si="224"/>
        <v>6.8519999999999914</v>
      </c>
      <c r="T481" s="304">
        <f t="shared" ca="1" si="204"/>
        <v>67.218119999999914</v>
      </c>
      <c r="U481" s="311">
        <f t="shared" ca="1" si="205"/>
        <v>0</v>
      </c>
      <c r="V481" s="306">
        <f t="shared" ca="1" si="206"/>
        <v>1.0515758907925714</v>
      </c>
      <c r="W481" s="304">
        <f t="shared" ca="1" si="207"/>
        <v>12.83774455915259</v>
      </c>
      <c r="Y481" s="314" t="str">
        <f t="shared" ca="1" si="225"/>
        <v/>
      </c>
      <c r="Z481" s="315" t="str">
        <f t="shared" ca="1" si="226"/>
        <v/>
      </c>
      <c r="AA481" s="316" t="str">
        <f t="shared" ca="1" si="227"/>
        <v/>
      </c>
      <c r="AC481" s="310" t="e">
        <f t="shared" ca="1" si="228"/>
        <v>#N/A</v>
      </c>
      <c r="AD481" s="323" t="e">
        <f t="shared" ca="1" si="229"/>
        <v>#N/A</v>
      </c>
      <c r="AE481" s="324">
        <f t="shared" ca="1" si="208"/>
        <v>1523.5521900133333</v>
      </c>
      <c r="AG481" s="306">
        <f t="shared" ca="1" si="230"/>
        <v>-11.502706605602089</v>
      </c>
      <c r="AH481" s="304">
        <f t="shared" ca="1" si="231"/>
        <v>-1.9372515628682372</v>
      </c>
    </row>
    <row r="482" spans="1:34" x14ac:dyDescent="0.2">
      <c r="A482" s="347">
        <f t="shared" ca="1" si="209"/>
        <v>0.1</v>
      </c>
      <c r="B482" s="304">
        <f t="shared" ca="1" si="210"/>
        <v>11.799999999999931</v>
      </c>
      <c r="D482" s="306">
        <f t="shared" ca="1" si="211"/>
        <v>-0.42143064961477245</v>
      </c>
      <c r="E482" s="307">
        <f t="shared" ca="1" si="212"/>
        <v>-11.635564083678949</v>
      </c>
      <c r="F482" s="304">
        <f t="shared" ca="1" si="213"/>
        <v>11.643193519727921</v>
      </c>
      <c r="G482" s="306">
        <f t="shared" ca="1" si="214"/>
        <v>15.633329313157812</v>
      </c>
      <c r="H482" s="307">
        <f t="shared" ca="1" si="215"/>
        <v>66.739856393606189</v>
      </c>
      <c r="I482" s="304">
        <f t="shared" ca="1" si="216"/>
        <v>68.546403383786782</v>
      </c>
      <c r="J482" s="306">
        <f t="shared" ca="1" si="217"/>
        <v>206.76488689301209</v>
      </c>
      <c r="K482" s="307">
        <f t="shared" ca="1" si="218"/>
        <v>1530.2843534731123</v>
      </c>
      <c r="L482" s="304">
        <f t="shared" ca="1" si="203"/>
        <v>1544.1897295787526</v>
      </c>
      <c r="M482" s="306">
        <f t="shared" ca="1" si="219"/>
        <v>1.3407020809664296</v>
      </c>
      <c r="N482" s="304">
        <f t="shared" ca="1" si="220"/>
        <v>76.816570823783195</v>
      </c>
      <c r="P482" s="310">
        <f t="shared" ca="1" si="221"/>
        <v>23</v>
      </c>
      <c r="Q482" s="304">
        <f t="shared" ca="1" si="222"/>
        <v>0</v>
      </c>
      <c r="R482" s="306">
        <f t="shared" ca="1" si="223"/>
        <v>0</v>
      </c>
      <c r="S482" s="307">
        <f t="shared" ca="1" si="224"/>
        <v>6.8519999999999914</v>
      </c>
      <c r="T482" s="304">
        <f t="shared" ca="1" si="204"/>
        <v>67.218119999999914</v>
      </c>
      <c r="U482" s="311">
        <f t="shared" ca="1" si="205"/>
        <v>0</v>
      </c>
      <c r="V482" s="306">
        <f t="shared" ca="1" si="206"/>
        <v>1.0508640432027399</v>
      </c>
      <c r="W482" s="304">
        <f t="shared" ca="1" si="207"/>
        <v>12.411726469980966</v>
      </c>
      <c r="Y482" s="314" t="str">
        <f t="shared" ca="1" si="225"/>
        <v/>
      </c>
      <c r="Z482" s="315" t="str">
        <f t="shared" ca="1" si="226"/>
        <v/>
      </c>
      <c r="AA482" s="316" t="str">
        <f t="shared" ca="1" si="227"/>
        <v/>
      </c>
      <c r="AC482" s="310" t="e">
        <f t="shared" ca="1" si="228"/>
        <v>#N/A</v>
      </c>
      <c r="AD482" s="323" t="e">
        <f t="shared" ca="1" si="229"/>
        <v>#N/A</v>
      </c>
      <c r="AE482" s="324">
        <f t="shared" ca="1" si="208"/>
        <v>1530.2843534731123</v>
      </c>
      <c r="AG482" s="306">
        <f t="shared" ca="1" si="230"/>
        <v>-11.432185650226575</v>
      </c>
      <c r="AH482" s="304">
        <f t="shared" ca="1" si="231"/>
        <v>-1.8735762637408939</v>
      </c>
    </row>
    <row r="483" spans="1:34" x14ac:dyDescent="0.2">
      <c r="A483" s="347">
        <f t="shared" ca="1" si="209"/>
        <v>0.1</v>
      </c>
      <c r="B483" s="304">
        <f t="shared" ca="1" si="210"/>
        <v>11.899999999999931</v>
      </c>
      <c r="D483" s="306">
        <f t="shared" ca="1" si="211"/>
        <v>-0.41312516060607712</v>
      </c>
      <c r="E483" s="307">
        <f t="shared" ca="1" si="212"/>
        <v>-11.573662322921141</v>
      </c>
      <c r="F483" s="304">
        <f t="shared" ca="1" si="213"/>
        <v>11.581033285649868</v>
      </c>
      <c r="G483" s="306">
        <f t="shared" ca="1" si="214"/>
        <v>15.592016797097205</v>
      </c>
      <c r="H483" s="307">
        <f t="shared" ca="1" si="215"/>
        <v>65.58249016131407</v>
      </c>
      <c r="I483" s="304">
        <f t="shared" ca="1" si="216"/>
        <v>67.410488824513195</v>
      </c>
      <c r="J483" s="306">
        <f t="shared" ca="1" si="217"/>
        <v>208.32615419852485</v>
      </c>
      <c r="K483" s="307">
        <f t="shared" ca="1" si="218"/>
        <v>1536.9004708008583</v>
      </c>
      <c r="L483" s="304">
        <f t="shared" ca="1" si="203"/>
        <v>1550.9554615368706</v>
      </c>
      <c r="M483" s="306">
        <f t="shared" ca="1" si="219"/>
        <v>1.3373830666001101</v>
      </c>
      <c r="N483" s="304">
        <f t="shared" ca="1" si="220"/>
        <v>76.626405308449804</v>
      </c>
      <c r="P483" s="310">
        <f t="shared" ca="1" si="221"/>
        <v>23</v>
      </c>
      <c r="Q483" s="304">
        <f t="shared" ca="1" si="222"/>
        <v>0</v>
      </c>
      <c r="R483" s="306">
        <f t="shared" ca="1" si="223"/>
        <v>0</v>
      </c>
      <c r="S483" s="307">
        <f t="shared" ca="1" si="224"/>
        <v>6.8519999999999914</v>
      </c>
      <c r="T483" s="304">
        <f t="shared" ca="1" si="204"/>
        <v>67.218119999999914</v>
      </c>
      <c r="U483" s="311">
        <f t="shared" ca="1" si="205"/>
        <v>0</v>
      </c>
      <c r="V483" s="306">
        <f t="shared" ca="1" si="206"/>
        <v>1.0501648997232849</v>
      </c>
      <c r="W483" s="304">
        <f t="shared" ca="1" si="207"/>
        <v>11.995787679654976</v>
      </c>
      <c r="Y483" s="314" t="str">
        <f t="shared" ca="1" si="225"/>
        <v/>
      </c>
      <c r="Z483" s="315" t="str">
        <f t="shared" ca="1" si="226"/>
        <v/>
      </c>
      <c r="AA483" s="316" t="str">
        <f t="shared" ca="1" si="227"/>
        <v/>
      </c>
      <c r="AC483" s="310" t="e">
        <f t="shared" ca="1" si="228"/>
        <v>#N/A</v>
      </c>
      <c r="AD483" s="323" t="e">
        <f t="shared" ca="1" si="229"/>
        <v>#N/A</v>
      </c>
      <c r="AE483" s="324">
        <f t="shared" ca="1" si="208"/>
        <v>1536.9004708008583</v>
      </c>
      <c r="AG483" s="306">
        <f t="shared" ca="1" si="230"/>
        <v>-11.362858510638969</v>
      </c>
      <c r="AH483" s="304">
        <f t="shared" ca="1" si="231"/>
        <v>-1.8114019950351694</v>
      </c>
    </row>
    <row r="484" spans="1:34" x14ac:dyDescent="0.2">
      <c r="A484" s="347">
        <f t="shared" ca="1" si="209"/>
        <v>0.1</v>
      </c>
      <c r="B484" s="304">
        <f t="shared" ca="1" si="210"/>
        <v>11.999999999999931</v>
      </c>
      <c r="D484" s="306">
        <f t="shared" ca="1" si="211"/>
        <v>-0.40493585551981132</v>
      </c>
      <c r="E484" s="307">
        <f t="shared" ca="1" si="212"/>
        <v>-11.513224291390927</v>
      </c>
      <c r="F484" s="304">
        <f t="shared" ca="1" si="213"/>
        <v>11.520343164635317</v>
      </c>
      <c r="G484" s="306">
        <f t="shared" ca="1" si="214"/>
        <v>15.551523211545224</v>
      </c>
      <c r="H484" s="307">
        <f t="shared" ca="1" si="215"/>
        <v>64.43116773217497</v>
      </c>
      <c r="I484" s="304">
        <f t="shared" ca="1" si="216"/>
        <v>66.281409531865677</v>
      </c>
      <c r="J484" s="306">
        <f t="shared" ca="1" si="217"/>
        <v>209.88333119895697</v>
      </c>
      <c r="K484" s="307">
        <f t="shared" ca="1" si="218"/>
        <v>1543.4011536955327</v>
      </c>
      <c r="L484" s="304">
        <f t="shared" ca="1" si="203"/>
        <v>1557.606540158288</v>
      </c>
      <c r="M484" s="306">
        <f t="shared" ca="1" si="219"/>
        <v>1.3339597037163804</v>
      </c>
      <c r="N484" s="304">
        <f t="shared" ca="1" si="220"/>
        <v>76.430261063470354</v>
      </c>
      <c r="P484" s="310">
        <f t="shared" ca="1" si="221"/>
        <v>23</v>
      </c>
      <c r="Q484" s="304">
        <f t="shared" ca="1" si="222"/>
        <v>0</v>
      </c>
      <c r="R484" s="306">
        <f t="shared" ca="1" si="223"/>
        <v>0</v>
      </c>
      <c r="S484" s="307">
        <f t="shared" ca="1" si="224"/>
        <v>6.8519999999999914</v>
      </c>
      <c r="T484" s="304">
        <f t="shared" ca="1" si="204"/>
        <v>67.218119999999914</v>
      </c>
      <c r="U484" s="311">
        <f t="shared" ca="1" si="205"/>
        <v>0</v>
      </c>
      <c r="V484" s="306">
        <f t="shared" ca="1" si="206"/>
        <v>1.0494783727705219</v>
      </c>
      <c r="W484" s="304">
        <f t="shared" ca="1" si="207"/>
        <v>11.589729057005913</v>
      </c>
      <c r="Y484" s="314" t="str">
        <f t="shared" ca="1" si="225"/>
        <v/>
      </c>
      <c r="Z484" s="315" t="str">
        <f t="shared" ca="1" si="226"/>
        <v/>
      </c>
      <c r="AA484" s="316" t="str">
        <f t="shared" ca="1" si="227"/>
        <v/>
      </c>
      <c r="AC484" s="310">
        <f t="shared" ca="1" si="228"/>
        <v>11.999999999999931</v>
      </c>
      <c r="AD484" s="323">
        <f t="shared" ca="1" si="229"/>
        <v>209.88333119895697</v>
      </c>
      <c r="AE484" s="324">
        <f t="shared" ca="1" si="208"/>
        <v>1543.4011536955327</v>
      </c>
      <c r="AG484" s="306">
        <f t="shared" ca="1" si="230"/>
        <v>-11.29467681888832</v>
      </c>
      <c r="AH484" s="304">
        <f t="shared" ca="1" si="231"/>
        <v>-1.7506987273285159</v>
      </c>
    </row>
    <row r="485" spans="1:34" x14ac:dyDescent="0.2">
      <c r="A485" s="347">
        <f t="shared" ca="1" si="209"/>
        <v>0.1</v>
      </c>
      <c r="B485" s="304">
        <f t="shared" ca="1" si="210"/>
        <v>12.09999999999993</v>
      </c>
      <c r="D485" s="306">
        <f t="shared" ca="1" si="211"/>
        <v>-0.39685981567184109</v>
      </c>
      <c r="E485" s="307">
        <f t="shared" ca="1" si="212"/>
        <v>-11.454221019503063</v>
      </c>
      <c r="F485" s="304">
        <f t="shared" ca="1" si="213"/>
        <v>11.461094052354726</v>
      </c>
      <c r="G485" s="306">
        <f t="shared" ca="1" si="214"/>
        <v>15.51183722997804</v>
      </c>
      <c r="H485" s="307">
        <f t="shared" ca="1" si="215"/>
        <v>63.28574563022466</v>
      </c>
      <c r="I485" s="304">
        <f t="shared" ca="1" si="216"/>
        <v>65.159056885615158</v>
      </c>
      <c r="J485" s="306">
        <f t="shared" ca="1" si="217"/>
        <v>211.43649922103313</v>
      </c>
      <c r="K485" s="307">
        <f t="shared" ca="1" si="218"/>
        <v>1549.7869993636527</v>
      </c>
      <c r="L485" s="304">
        <f t="shared" ca="1" si="203"/>
        <v>1564.1435792789102</v>
      </c>
      <c r="M485" s="306">
        <f t="shared" ca="1" si="219"/>
        <v>1.3304272513172479</v>
      </c>
      <c r="N485" s="304">
        <f t="shared" ca="1" si="220"/>
        <v>76.227866449669207</v>
      </c>
      <c r="P485" s="310">
        <f t="shared" ca="1" si="221"/>
        <v>23</v>
      </c>
      <c r="Q485" s="304">
        <f t="shared" ca="1" si="222"/>
        <v>0</v>
      </c>
      <c r="R485" s="306">
        <f t="shared" ca="1" si="223"/>
        <v>0</v>
      </c>
      <c r="S485" s="307">
        <f t="shared" ca="1" si="224"/>
        <v>6.8519999999999914</v>
      </c>
      <c r="T485" s="304">
        <f t="shared" ca="1" si="204"/>
        <v>67.218119999999914</v>
      </c>
      <c r="U485" s="311">
        <f t="shared" ca="1" si="205"/>
        <v>0</v>
      </c>
      <c r="V485" s="306">
        <f t="shared" ca="1" si="206"/>
        <v>1.0488043768807056</v>
      </c>
      <c r="W485" s="304">
        <f t="shared" ca="1" si="207"/>
        <v>11.193357879037423</v>
      </c>
      <c r="Y485" s="314" t="str">
        <f t="shared" ca="1" si="225"/>
        <v/>
      </c>
      <c r="Z485" s="315" t="str">
        <f t="shared" ca="1" si="226"/>
        <v/>
      </c>
      <c r="AA485" s="316" t="str">
        <f t="shared" ca="1" si="227"/>
        <v/>
      </c>
      <c r="AC485" s="310" t="e">
        <f t="shared" ca="1" si="228"/>
        <v>#N/A</v>
      </c>
      <c r="AD485" s="323" t="e">
        <f t="shared" ca="1" si="229"/>
        <v>#N/A</v>
      </c>
      <c r="AE485" s="324">
        <f t="shared" ca="1" si="208"/>
        <v>1549.7869993636527</v>
      </c>
      <c r="AG485" s="306">
        <f t="shared" ca="1" si="230"/>
        <v>-11.227591803496294</v>
      </c>
      <c r="AH485" s="304">
        <f t="shared" ca="1" si="231"/>
        <v>-1.6914373988625113</v>
      </c>
    </row>
    <row r="486" spans="1:34" x14ac:dyDescent="0.2">
      <c r="A486" s="347">
        <f t="shared" ca="1" si="209"/>
        <v>0.1</v>
      </c>
      <c r="B486" s="304">
        <f t="shared" ca="1" si="210"/>
        <v>12.19999999999993</v>
      </c>
      <c r="D486" s="306">
        <f t="shared" ca="1" si="211"/>
        <v>-0.38889421637504196</v>
      </c>
      <c r="E486" s="307">
        <f t="shared" ca="1" si="212"/>
        <v>-11.39662446554123</v>
      </c>
      <c r="F486" s="304">
        <f t="shared" ca="1" si="213"/>
        <v>11.40325777662256</v>
      </c>
      <c r="G486" s="306">
        <f t="shared" ca="1" si="214"/>
        <v>15.472947808340535</v>
      </c>
      <c r="H486" s="307">
        <f t="shared" ca="1" si="215"/>
        <v>62.146083183670541</v>
      </c>
      <c r="I486" s="304">
        <f t="shared" ca="1" si="216"/>
        <v>64.043327278892434</v>
      </c>
      <c r="J486" s="306">
        <f t="shared" ca="1" si="217"/>
        <v>212.98573847294907</v>
      </c>
      <c r="K486" s="307">
        <f t="shared" ca="1" si="218"/>
        <v>1556.0585908043474</v>
      </c>
      <c r="L486" s="304">
        <f t="shared" ca="1" si="203"/>
        <v>1570.5671786997459</v>
      </c>
      <c r="M486" s="306">
        <f t="shared" ca="1" si="219"/>
        <v>1.3267806815070977</v>
      </c>
      <c r="N486" s="304">
        <f t="shared" ca="1" si="220"/>
        <v>76.018933389847774</v>
      </c>
      <c r="P486" s="310">
        <f t="shared" ca="1" si="221"/>
        <v>23</v>
      </c>
      <c r="Q486" s="304">
        <f t="shared" ca="1" si="222"/>
        <v>0</v>
      </c>
      <c r="R486" s="306">
        <f t="shared" ca="1" si="223"/>
        <v>0</v>
      </c>
      <c r="S486" s="307">
        <f t="shared" ca="1" si="224"/>
        <v>6.8519999999999914</v>
      </c>
      <c r="T486" s="304">
        <f t="shared" ca="1" si="204"/>
        <v>67.218119999999914</v>
      </c>
      <c r="U486" s="311">
        <f t="shared" ca="1" si="205"/>
        <v>0</v>
      </c>
      <c r="V486" s="306">
        <f t="shared" ca="1" si="206"/>
        <v>1.0481428286664165</v>
      </c>
      <c r="W486" s="304">
        <f t="shared" ca="1" si="207"/>
        <v>10.806487618062043</v>
      </c>
      <c r="Y486" s="314" t="str">
        <f t="shared" ca="1" si="225"/>
        <v/>
      </c>
      <c r="Z486" s="315" t="str">
        <f t="shared" ca="1" si="226"/>
        <v/>
      </c>
      <c r="AA486" s="316" t="str">
        <f t="shared" ca="1" si="227"/>
        <v/>
      </c>
      <c r="AC486" s="310" t="e">
        <f t="shared" ca="1" si="228"/>
        <v>#N/A</v>
      </c>
      <c r="AD486" s="323" t="e">
        <f t="shared" ca="1" si="229"/>
        <v>#N/A</v>
      </c>
      <c r="AE486" s="324">
        <f t="shared" ca="1" si="208"/>
        <v>1556.0585908043474</v>
      </c>
      <c r="AG486" s="306">
        <f t="shared" ca="1" si="230"/>
        <v>-11.161554134066725</v>
      </c>
      <c r="AH486" s="304">
        <f t="shared" ca="1" si="231"/>
        <v>-1.6335898831052886</v>
      </c>
    </row>
    <row r="487" spans="1:34" x14ac:dyDescent="0.2">
      <c r="A487" s="347">
        <f t="shared" ca="1" si="209"/>
        <v>0.1</v>
      </c>
      <c r="B487" s="304">
        <f t="shared" ca="1" si="210"/>
        <v>12.29999999999993</v>
      </c>
      <c r="D487" s="306">
        <f t="shared" ca="1" si="211"/>
        <v>-0.38103632472161203</v>
      </c>
      <c r="E487" s="307">
        <f t="shared" ca="1" si="212"/>
        <v>-11.340407484434543</v>
      </c>
      <c r="F487" s="304">
        <f t="shared" ca="1" si="213"/>
        <v>11.346807066032996</v>
      </c>
      <c r="G487" s="306">
        <f t="shared" ca="1" si="214"/>
        <v>15.434844175868374</v>
      </c>
      <c r="H487" s="307">
        <f t="shared" ca="1" si="215"/>
        <v>61.012042435227087</v>
      </c>
      <c r="I487" s="304">
        <f t="shared" ca="1" si="216"/>
        <v>62.934122198146916</v>
      </c>
      <c r="J487" s="306">
        <f t="shared" ca="1" si="217"/>
        <v>214.5311280721595</v>
      </c>
      <c r="K487" s="307">
        <f t="shared" ca="1" si="218"/>
        <v>1562.2164970852923</v>
      </c>
      <c r="L487" s="304">
        <f t="shared" ca="1" si="203"/>
        <v>1576.8779244689026</v>
      </c>
      <c r="M487" s="306">
        <f t="shared" ca="1" si="219"/>
        <v>1.323014657982162</v>
      </c>
      <c r="N487" s="304">
        <f t="shared" ca="1" si="220"/>
        <v>75.803156136321974</v>
      </c>
      <c r="P487" s="310">
        <f t="shared" ca="1" si="221"/>
        <v>23</v>
      </c>
      <c r="Q487" s="304">
        <f t="shared" ca="1" si="222"/>
        <v>0</v>
      </c>
      <c r="R487" s="306">
        <f t="shared" ca="1" si="223"/>
        <v>0</v>
      </c>
      <c r="S487" s="307">
        <f t="shared" ca="1" si="224"/>
        <v>6.8519999999999914</v>
      </c>
      <c r="T487" s="304">
        <f t="shared" ca="1" si="204"/>
        <v>67.218119999999914</v>
      </c>
      <c r="U487" s="311">
        <f t="shared" ca="1" si="205"/>
        <v>0</v>
      </c>
      <c r="V487" s="306">
        <f t="shared" ca="1" si="206"/>
        <v>1.0474936467743774</v>
      </c>
      <c r="W487" s="304">
        <f t="shared" ca="1" si="207"/>
        <v>10.428937737803158</v>
      </c>
      <c r="Y487" s="314" t="str">
        <f t="shared" ca="1" si="225"/>
        <v/>
      </c>
      <c r="Z487" s="315" t="str">
        <f t="shared" ca="1" si="226"/>
        <v/>
      </c>
      <c r="AA487" s="316" t="str">
        <f t="shared" ca="1" si="227"/>
        <v/>
      </c>
      <c r="AC487" s="310" t="e">
        <f t="shared" ca="1" si="228"/>
        <v>#N/A</v>
      </c>
      <c r="AD487" s="323" t="e">
        <f t="shared" ca="1" si="229"/>
        <v>#N/A</v>
      </c>
      <c r="AE487" s="324">
        <f t="shared" ca="1" si="208"/>
        <v>1562.2164970852923</v>
      </c>
      <c r="AG487" s="306">
        <f t="shared" ca="1" si="230"/>
        <v>-11.096513754433067</v>
      </c>
      <c r="AH487" s="304">
        <f t="shared" ca="1" si="231"/>
        <v>-1.5771289576856475</v>
      </c>
    </row>
    <row r="488" spans="1:34" x14ac:dyDescent="0.2">
      <c r="A488" s="347">
        <f t="shared" ca="1" si="209"/>
        <v>0.1</v>
      </c>
      <c r="B488" s="304">
        <f t="shared" ca="1" si="210"/>
        <v>12.399999999999929</v>
      </c>
      <c r="D488" s="306">
        <f t="shared" ca="1" si="211"/>
        <v>-0.3732834975643482</v>
      </c>
      <c r="E488" s="307">
        <f t="shared" ca="1" si="212"/>
        <v>-11.285543797803497</v>
      </c>
      <c r="F488" s="304">
        <f t="shared" ca="1" si="213"/>
        <v>11.291715519870966</v>
      </c>
      <c r="G488" s="306">
        <f t="shared" ca="1" si="214"/>
        <v>15.39751582611194</v>
      </c>
      <c r="H488" s="307">
        <f t="shared" ca="1" si="215"/>
        <v>59.88348805544674</v>
      </c>
      <c r="I488" s="304">
        <f t="shared" ca="1" si="216"/>
        <v>61.831348321884427</v>
      </c>
      <c r="J488" s="306">
        <f t="shared" ca="1" si="217"/>
        <v>216.07274607225852</v>
      </c>
      <c r="K488" s="307">
        <f t="shared" ca="1" si="218"/>
        <v>1568.261273609826</v>
      </c>
      <c r="L488" s="304">
        <f t="shared" ca="1" si="203"/>
        <v>1583.0763891548381</v>
      </c>
      <c r="M488" s="306">
        <f t="shared" ca="1" si="219"/>
        <v>1.319123512606559</v>
      </c>
      <c r="N488" s="304">
        <f t="shared" ca="1" si="220"/>
        <v>75.580209928828069</v>
      </c>
      <c r="P488" s="310">
        <f t="shared" ca="1" si="221"/>
        <v>23</v>
      </c>
      <c r="Q488" s="304">
        <f t="shared" ca="1" si="222"/>
        <v>0</v>
      </c>
      <c r="R488" s="306">
        <f t="shared" ca="1" si="223"/>
        <v>0</v>
      </c>
      <c r="S488" s="307">
        <f t="shared" ca="1" si="224"/>
        <v>6.8519999999999914</v>
      </c>
      <c r="T488" s="304">
        <f t="shared" ca="1" si="204"/>
        <v>67.218119999999914</v>
      </c>
      <c r="U488" s="311">
        <f t="shared" ca="1" si="205"/>
        <v>0</v>
      </c>
      <c r="V488" s="306">
        <f t="shared" ca="1" si="206"/>
        <v>1.0468567518446512</v>
      </c>
      <c r="W488" s="304">
        <f t="shared" ca="1" si="207"/>
        <v>10.060533498051583</v>
      </c>
      <c r="Y488" s="314" t="str">
        <f t="shared" ca="1" si="225"/>
        <v/>
      </c>
      <c r="Z488" s="315" t="str">
        <f t="shared" ca="1" si="226"/>
        <v/>
      </c>
      <c r="AA488" s="316" t="str">
        <f t="shared" ca="1" si="227"/>
        <v/>
      </c>
      <c r="AC488" s="310" t="e">
        <f t="shared" ca="1" si="228"/>
        <v>#N/A</v>
      </c>
      <c r="AD488" s="323" t="e">
        <f t="shared" ca="1" si="229"/>
        <v>#N/A</v>
      </c>
      <c r="AE488" s="324">
        <f t="shared" ca="1" si="208"/>
        <v>1568.261273609826</v>
      </c>
      <c r="AG488" s="306">
        <f t="shared" ca="1" si="230"/>
        <v>-11.032419702756634</v>
      </c>
      <c r="AH488" s="304">
        <f t="shared" ca="1" si="231"/>
        <v>-1.522028274635606</v>
      </c>
    </row>
    <row r="489" spans="1:34" x14ac:dyDescent="0.2">
      <c r="A489" s="347">
        <f t="shared" ca="1" si="209"/>
        <v>0.1</v>
      </c>
      <c r="B489" s="304">
        <f t="shared" ca="1" si="210"/>
        <v>12.499999999999929</v>
      </c>
      <c r="D489" s="306">
        <f t="shared" ca="1" si="211"/>
        <v>-0.36563317969934606</v>
      </c>
      <c r="E489" s="307">
        <f t="shared" ca="1" si="212"/>
        <v>-11.232007965211467</v>
      </c>
      <c r="F489" s="304">
        <f t="shared" ca="1" si="213"/>
        <v>11.237957579234356</v>
      </c>
      <c r="G489" s="306">
        <f t="shared" ca="1" si="214"/>
        <v>15.360952508142006</v>
      </c>
      <c r="H489" s="307">
        <f t="shared" ca="1" si="215"/>
        <v>58.760287258925594</v>
      </c>
      <c r="I489" s="304">
        <f t="shared" ca="1" si="216"/>
        <v>60.734917639763438</v>
      </c>
      <c r="J489" s="306">
        <f t="shared" ca="1" si="217"/>
        <v>217.61066948897121</v>
      </c>
      <c r="K489" s="307">
        <f t="shared" ca="1" si="218"/>
        <v>1574.1934623755446</v>
      </c>
      <c r="L489" s="304">
        <f t="shared" ca="1" si="203"/>
        <v>1589.1631321111572</v>
      </c>
      <c r="M489" s="306">
        <f t="shared" ca="1" si="219"/>
        <v>1.3151012198797383</v>
      </c>
      <c r="N489" s="304">
        <f t="shared" ca="1" si="220"/>
        <v>75.349749531615075</v>
      </c>
      <c r="P489" s="310">
        <f t="shared" ca="1" si="221"/>
        <v>23</v>
      </c>
      <c r="Q489" s="304">
        <f t="shared" ca="1" si="222"/>
        <v>0</v>
      </c>
      <c r="R489" s="306">
        <f t="shared" ca="1" si="223"/>
        <v>0</v>
      </c>
      <c r="S489" s="307">
        <f t="shared" ca="1" si="224"/>
        <v>6.8519999999999914</v>
      </c>
      <c r="T489" s="304">
        <f t="shared" ca="1" si="204"/>
        <v>67.218119999999914</v>
      </c>
      <c r="U489" s="311">
        <f t="shared" ca="1" si="205"/>
        <v>0</v>
      </c>
      <c r="V489" s="306">
        <f t="shared" ca="1" si="206"/>
        <v>1.0462320664711695</v>
      </c>
      <c r="W489" s="304">
        <f t="shared" ca="1" si="207"/>
        <v>9.7011057674877392</v>
      </c>
      <c r="Y489" s="314" t="str">
        <f t="shared" ca="1" si="225"/>
        <v/>
      </c>
      <c r="Z489" s="315" t="str">
        <f t="shared" ca="1" si="226"/>
        <v/>
      </c>
      <c r="AA489" s="316" t="str">
        <f t="shared" ca="1" si="227"/>
        <v/>
      </c>
      <c r="AC489" s="310" t="e">
        <f t="shared" ca="1" si="228"/>
        <v>#N/A</v>
      </c>
      <c r="AD489" s="323" t="e">
        <f t="shared" ca="1" si="229"/>
        <v>#N/A</v>
      </c>
      <c r="AE489" s="324">
        <f t="shared" ca="1" si="208"/>
        <v>1574.1934623755446</v>
      </c>
      <c r="AG489" s="306">
        <f t="shared" ca="1" si="230"/>
        <v>-10.969219916790019</v>
      </c>
      <c r="AH489" s="304">
        <f t="shared" ca="1" si="231"/>
        <v>-1.4682623318814354</v>
      </c>
    </row>
    <row r="490" spans="1:34" x14ac:dyDescent="0.2">
      <c r="A490" s="347">
        <f t="shared" ca="1" si="209"/>
        <v>0.1</v>
      </c>
      <c r="B490" s="304">
        <f t="shared" ca="1" si="210"/>
        <v>12.599999999999929</v>
      </c>
      <c r="D490" s="306">
        <f t="shared" ca="1" si="211"/>
        <v>-0.3580829022538804</v>
      </c>
      <c r="E490" s="307">
        <f t="shared" ca="1" si="212"/>
        <v>-11.179775356560413</v>
      </c>
      <c r="F490" s="304">
        <f t="shared" ca="1" si="213"/>
        <v>11.18550849930579</v>
      </c>
      <c r="G490" s="306">
        <f t="shared" ca="1" si="214"/>
        <v>15.325144217916618</v>
      </c>
      <c r="H490" s="307">
        <f t="shared" ca="1" si="215"/>
        <v>57.642309723269555</v>
      </c>
      <c r="I490" s="304">
        <f t="shared" ca="1" si="216"/>
        <v>59.644747593843327</v>
      </c>
      <c r="J490" s="306">
        <f t="shared" ca="1" si="217"/>
        <v>219.14497432527415</v>
      </c>
      <c r="K490" s="307">
        <f t="shared" ca="1" si="218"/>
        <v>1580.0135922246543</v>
      </c>
      <c r="L490" s="304">
        <f t="shared" ca="1" si="203"/>
        <v>1595.1386997332493</v>
      </c>
      <c r="M490" s="306">
        <f t="shared" ca="1" si="219"/>
        <v>1.3109413690780027</v>
      </c>
      <c r="N490" s="304">
        <f t="shared" ca="1" si="220"/>
        <v>75.111407637271526</v>
      </c>
      <c r="P490" s="310">
        <f t="shared" ca="1" si="221"/>
        <v>23</v>
      </c>
      <c r="Q490" s="304">
        <f t="shared" ca="1" si="222"/>
        <v>0</v>
      </c>
      <c r="R490" s="306">
        <f t="shared" ca="1" si="223"/>
        <v>0</v>
      </c>
      <c r="S490" s="307">
        <f t="shared" ca="1" si="224"/>
        <v>6.8519999999999914</v>
      </c>
      <c r="T490" s="304">
        <f t="shared" ca="1" si="204"/>
        <v>67.218119999999914</v>
      </c>
      <c r="U490" s="311">
        <f t="shared" ca="1" si="205"/>
        <v>0</v>
      </c>
      <c r="V490" s="306">
        <f t="shared" ca="1" si="206"/>
        <v>1.0456195151635517</v>
      </c>
      <c r="W490" s="304">
        <f t="shared" ca="1" si="207"/>
        <v>9.3504908443006745</v>
      </c>
      <c r="Y490" s="314" t="str">
        <f t="shared" ca="1" si="225"/>
        <v/>
      </c>
      <c r="Z490" s="315" t="str">
        <f t="shared" ca="1" si="226"/>
        <v/>
      </c>
      <c r="AA490" s="316" t="str">
        <f t="shared" ca="1" si="227"/>
        <v/>
      </c>
      <c r="AC490" s="310" t="e">
        <f t="shared" ca="1" si="228"/>
        <v>#N/A</v>
      </c>
      <c r="AD490" s="323" t="e">
        <f t="shared" ca="1" si="229"/>
        <v>#N/A</v>
      </c>
      <c r="AE490" s="324">
        <f t="shared" ca="1" si="208"/>
        <v>1580.0135922246543</v>
      </c>
      <c r="AG490" s="306">
        <f t="shared" ca="1" si="230"/>
        <v>-10.906861022291936</v>
      </c>
      <c r="AH490" s="304">
        <f t="shared" ca="1" si="231"/>
        <v>-1.4158064459264086</v>
      </c>
    </row>
    <row r="491" spans="1:34" x14ac:dyDescent="0.2">
      <c r="A491" s="347">
        <f t="shared" ca="1" si="209"/>
        <v>0.1</v>
      </c>
      <c r="B491" s="304">
        <f t="shared" ca="1" si="210"/>
        <v>12.699999999999928</v>
      </c>
      <c r="D491" s="306">
        <f t="shared" ca="1" si="211"/>
        <v>-0.35063028128463419</v>
      </c>
      <c r="E491" s="307">
        <f t="shared" ca="1" si="212"/>
        <v>-11.128822125571723</v>
      </c>
      <c r="F491" s="304">
        <f t="shared" ca="1" si="213"/>
        <v>11.134344322714673</v>
      </c>
      <c r="G491" s="306">
        <f t="shared" ca="1" si="214"/>
        <v>15.290081189788154</v>
      </c>
      <c r="H491" s="307">
        <f t="shared" ca="1" si="215"/>
        <v>56.529427510712381</v>
      </c>
      <c r="I491" s="304">
        <f t="shared" ca="1" si="216"/>
        <v>58.560761244020718</v>
      </c>
      <c r="J491" s="306">
        <f t="shared" ca="1" si="217"/>
        <v>220.67573559565938</v>
      </c>
      <c r="K491" s="307">
        <f t="shared" ca="1" si="218"/>
        <v>1585.7221790863534</v>
      </c>
      <c r="L491" s="304">
        <f t="shared" ca="1" si="203"/>
        <v>1601.003625707031</v>
      </c>
      <c r="M491" s="306">
        <f t="shared" ca="1" si="219"/>
        <v>1.3066371338279101</v>
      </c>
      <c r="N491" s="304">
        <f t="shared" ca="1" si="220"/>
        <v>74.864793123409783</v>
      </c>
      <c r="P491" s="310">
        <f t="shared" ca="1" si="221"/>
        <v>23</v>
      </c>
      <c r="Q491" s="304">
        <f t="shared" ca="1" si="222"/>
        <v>0</v>
      </c>
      <c r="R491" s="306">
        <f t="shared" ca="1" si="223"/>
        <v>0</v>
      </c>
      <c r="S491" s="307">
        <f t="shared" ca="1" si="224"/>
        <v>6.8519999999999914</v>
      </c>
      <c r="T491" s="304">
        <f t="shared" ca="1" si="204"/>
        <v>67.218119999999914</v>
      </c>
      <c r="U491" s="311">
        <f t="shared" ca="1" si="205"/>
        <v>0</v>
      </c>
      <c r="V491" s="306">
        <f t="shared" ca="1" si="206"/>
        <v>1.0450190243101698</v>
      </c>
      <c r="W491" s="304">
        <f t="shared" ca="1" si="207"/>
        <v>9.0085302842542632</v>
      </c>
      <c r="Y491" s="314" t="str">
        <f t="shared" ca="1" si="225"/>
        <v/>
      </c>
      <c r="Z491" s="315" t="str">
        <f t="shared" ca="1" si="226"/>
        <v/>
      </c>
      <c r="AA491" s="316" t="str">
        <f t="shared" ca="1" si="227"/>
        <v/>
      </c>
      <c r="AC491" s="310" t="e">
        <f t="shared" ca="1" si="228"/>
        <v>#N/A</v>
      </c>
      <c r="AD491" s="323" t="e">
        <f t="shared" ca="1" si="229"/>
        <v>#N/A</v>
      </c>
      <c r="AE491" s="324">
        <f t="shared" ca="1" si="208"/>
        <v>1585.7221790863534</v>
      </c>
      <c r="AG491" s="306">
        <f t="shared" ca="1" si="230"/>
        <v>-10.845288102317443</v>
      </c>
      <c r="AH491" s="304">
        <f t="shared" ca="1" si="231"/>
        <v>-1.3646367256714369</v>
      </c>
    </row>
    <row r="492" spans="1:34" x14ac:dyDescent="0.2">
      <c r="A492" s="347">
        <f t="shared" ca="1" si="209"/>
        <v>0.1</v>
      </c>
      <c r="B492" s="304">
        <f t="shared" ca="1" si="210"/>
        <v>12.799999999999928</v>
      </c>
      <c r="D492" s="306">
        <f t="shared" ca="1" si="211"/>
        <v>-0.34327301659297826</v>
      </c>
      <c r="E492" s="307">
        <f t="shared" ca="1" si="212"/>
        <v>-11.079125184295062</v>
      </c>
      <c r="F492" s="304">
        <f t="shared" ca="1" si="213"/>
        <v>11.084441853932111</v>
      </c>
      <c r="G492" s="306">
        <f t="shared" ca="1" si="214"/>
        <v>15.255753888128856</v>
      </c>
      <c r="H492" s="307">
        <f t="shared" ca="1" si="215"/>
        <v>55.421514992282873</v>
      </c>
      <c r="I492" s="304">
        <f t="shared" ca="1" si="216"/>
        <v>57.482887459964935</v>
      </c>
      <c r="J492" s="306">
        <f t="shared" ca="1" si="217"/>
        <v>222.20302734955521</v>
      </c>
      <c r="K492" s="307">
        <f t="shared" ca="1" si="218"/>
        <v>1591.3197262115032</v>
      </c>
      <c r="L492" s="304">
        <f t="shared" ca="1" si="203"/>
        <v>1606.7584312500621</v>
      </c>
      <c r="M492" s="306">
        <f t="shared" ca="1" si="219"/>
        <v>1.3021812388414129</v>
      </c>
      <c r="N492" s="304">
        <f t="shared" ca="1" si="220"/>
        <v>74.609489146729985</v>
      </c>
      <c r="P492" s="310">
        <f t="shared" ca="1" si="221"/>
        <v>23</v>
      </c>
      <c r="Q492" s="304">
        <f t="shared" ca="1" si="222"/>
        <v>0</v>
      </c>
      <c r="R492" s="306">
        <f t="shared" ca="1" si="223"/>
        <v>0</v>
      </c>
      <c r="S492" s="307">
        <f t="shared" ca="1" si="224"/>
        <v>6.8519999999999914</v>
      </c>
      <c r="T492" s="304">
        <f t="shared" ca="1" si="204"/>
        <v>67.218119999999914</v>
      </c>
      <c r="U492" s="311">
        <f t="shared" ca="1" si="205"/>
        <v>0</v>
      </c>
      <c r="V492" s="306">
        <f t="shared" ca="1" si="206"/>
        <v>1.0444305221424153</v>
      </c>
      <c r="W492" s="304">
        <f t="shared" ca="1" si="207"/>
        <v>8.6750707358689638</v>
      </c>
      <c r="Y492" s="314" t="str">
        <f t="shared" ca="1" si="225"/>
        <v/>
      </c>
      <c r="Z492" s="315" t="str">
        <f t="shared" ca="1" si="226"/>
        <v/>
      </c>
      <c r="AA492" s="316" t="str">
        <f t="shared" ca="1" si="227"/>
        <v/>
      </c>
      <c r="AC492" s="310" t="e">
        <f t="shared" ca="1" si="228"/>
        <v>#N/A</v>
      </c>
      <c r="AD492" s="323" t="e">
        <f t="shared" ca="1" si="229"/>
        <v>#N/A</v>
      </c>
      <c r="AE492" s="324">
        <f t="shared" ca="1" si="208"/>
        <v>1591.3197262115032</v>
      </c>
      <c r="AG492" s="306">
        <f t="shared" ca="1" si="230"/>
        <v>-10.784444444805931</v>
      </c>
      <c r="AH492" s="304">
        <f t="shared" ca="1" si="231"/>
        <v>-1.3147300473225736</v>
      </c>
    </row>
    <row r="493" spans="1:34" x14ac:dyDescent="0.2">
      <c r="A493" s="347">
        <f t="shared" ca="1" si="209"/>
        <v>0.1</v>
      </c>
      <c r="B493" s="304">
        <f t="shared" ca="1" si="210"/>
        <v>12.899999999999928</v>
      </c>
      <c r="D493" s="306">
        <f t="shared" ca="1" si="211"/>
        <v>-0.33600889076571855</v>
      </c>
      <c r="E493" s="307">
        <f t="shared" ca="1" si="212"/>
        <v>-11.030662178589763</v>
      </c>
      <c r="F493" s="304">
        <f t="shared" ca="1" si="213"/>
        <v>11.03577863464306</v>
      </c>
      <c r="G493" s="306">
        <f t="shared" ca="1" si="214"/>
        <v>15.222152999052284</v>
      </c>
      <c r="H493" s="307">
        <f t="shared" ca="1" si="215"/>
        <v>54.318448774423899</v>
      </c>
      <c r="I493" s="304">
        <f t="shared" ca="1" si="216"/>
        <v>56.411061142175562</v>
      </c>
      <c r="J493" s="306">
        <f t="shared" ca="1" si="217"/>
        <v>223.72692269391428</v>
      </c>
      <c r="K493" s="307">
        <f t="shared" ca="1" si="218"/>
        <v>1596.8067243998385</v>
      </c>
      <c r="L493" s="304">
        <f t="shared" ca="1" si="203"/>
        <v>1612.4036253452887</v>
      </c>
      <c r="M493" s="306">
        <f t="shared" ca="1" si="219"/>
        <v>1.2975659235112276</v>
      </c>
      <c r="N493" s="304">
        <f t="shared" ca="1" si="220"/>
        <v>74.345051057188343</v>
      </c>
      <c r="P493" s="310">
        <f t="shared" ca="1" si="221"/>
        <v>23</v>
      </c>
      <c r="Q493" s="304">
        <f t="shared" ca="1" si="222"/>
        <v>0</v>
      </c>
      <c r="R493" s="306">
        <f t="shared" ca="1" si="223"/>
        <v>0</v>
      </c>
      <c r="S493" s="307">
        <f t="shared" ca="1" si="224"/>
        <v>6.8519999999999914</v>
      </c>
      <c r="T493" s="304">
        <f t="shared" ca="1" si="204"/>
        <v>67.218119999999914</v>
      </c>
      <c r="U493" s="311">
        <f t="shared" ca="1" si="205"/>
        <v>0</v>
      </c>
      <c r="V493" s="306">
        <f t="shared" ca="1" si="206"/>
        <v>1.0438539387001289</v>
      </c>
      <c r="W493" s="304">
        <f t="shared" ca="1" si="207"/>
        <v>8.3499637824045099</v>
      </c>
      <c r="Y493" s="314" t="str">
        <f t="shared" ca="1" si="225"/>
        <v/>
      </c>
      <c r="Z493" s="315" t="str">
        <f t="shared" ca="1" si="226"/>
        <v/>
      </c>
      <c r="AA493" s="316" t="str">
        <f t="shared" ca="1" si="227"/>
        <v/>
      </c>
      <c r="AC493" s="310" t="e">
        <f t="shared" ca="1" si="228"/>
        <v>#N/A</v>
      </c>
      <c r="AD493" s="323" t="e">
        <f t="shared" ca="1" si="229"/>
        <v>#N/A</v>
      </c>
      <c r="AE493" s="324">
        <f t="shared" ca="1" si="208"/>
        <v>1596.8067243998385</v>
      </c>
      <c r="AG493" s="306">
        <f t="shared" ca="1" si="230"/>
        <v>-10.724271265541628</v>
      </c>
      <c r="AH493" s="304">
        <f t="shared" ca="1" si="231"/>
        <v>-1.2660640303369781</v>
      </c>
    </row>
    <row r="494" spans="1:34" x14ac:dyDescent="0.2">
      <c r="A494" s="347">
        <f t="shared" ca="1" si="209"/>
        <v>0.1</v>
      </c>
      <c r="B494" s="304">
        <f t="shared" ca="1" si="210"/>
        <v>12.999999999999927</v>
      </c>
      <c r="D494" s="306">
        <f t="shared" ca="1" si="211"/>
        <v>-0.32883576845160872</v>
      </c>
      <c r="E494" s="307">
        <f t="shared" ca="1" si="212"/>
        <v>-10.983411464524703</v>
      </c>
      <c r="F494" s="304">
        <f t="shared" ca="1" si="213"/>
        <v>10.988332920041413</v>
      </c>
      <c r="G494" s="306">
        <f t="shared" ca="1" si="214"/>
        <v>15.189269422207124</v>
      </c>
      <c r="H494" s="307">
        <f t="shared" ca="1" si="215"/>
        <v>53.22010762797143</v>
      </c>
      <c r="I494" s="304">
        <f t="shared" ca="1" si="216"/>
        <v>55.345223475140649</v>
      </c>
      <c r="J494" s="306">
        <f t="shared" ca="1" si="217"/>
        <v>225.24749381497725</v>
      </c>
      <c r="K494" s="307">
        <f t="shared" ca="1" si="218"/>
        <v>1602.1836522199583</v>
      </c>
      <c r="L494" s="304">
        <f t="shared" ca="1" si="203"/>
        <v>1617.9397049676518</v>
      </c>
      <c r="M494" s="306">
        <f t="shared" ca="1" si="219"/>
        <v>1.2927829020296553</v>
      </c>
      <c r="N494" s="304">
        <f t="shared" ca="1" si="220"/>
        <v>74.071004112973839</v>
      </c>
      <c r="P494" s="310">
        <f t="shared" ca="1" si="221"/>
        <v>23</v>
      </c>
      <c r="Q494" s="304">
        <f t="shared" ca="1" si="222"/>
        <v>0</v>
      </c>
      <c r="R494" s="306">
        <f t="shared" ca="1" si="223"/>
        <v>0</v>
      </c>
      <c r="S494" s="307">
        <f t="shared" ca="1" si="224"/>
        <v>6.8519999999999914</v>
      </c>
      <c r="T494" s="304">
        <f t="shared" ca="1" si="204"/>
        <v>67.218119999999914</v>
      </c>
      <c r="U494" s="311">
        <f t="shared" ca="1" si="205"/>
        <v>0</v>
      </c>
      <c r="V494" s="306">
        <f t="shared" ca="1" si="206"/>
        <v>1.0432892057981598</v>
      </c>
      <c r="W494" s="304">
        <f t="shared" ca="1" si="207"/>
        <v>8.0330657903449847</v>
      </c>
      <c r="Y494" s="314" t="str">
        <f t="shared" ca="1" si="225"/>
        <v/>
      </c>
      <c r="Z494" s="315" t="str">
        <f t="shared" ca="1" si="226"/>
        <v/>
      </c>
      <c r="AA494" s="316" t="str">
        <f t="shared" ca="1" si="227"/>
        <v/>
      </c>
      <c r="AC494" s="310">
        <f t="shared" ca="1" si="228"/>
        <v>12.999999999999927</v>
      </c>
      <c r="AD494" s="323">
        <f t="shared" ca="1" si="229"/>
        <v>225.24749381497725</v>
      </c>
      <c r="AE494" s="324">
        <f t="shared" ca="1" si="208"/>
        <v>1602.1836522199583</v>
      </c>
      <c r="AG494" s="306">
        <f t="shared" ca="1" si="230"/>
        <v>-10.66470740316116</v>
      </c>
      <c r="AH494" s="304">
        <f t="shared" ca="1" si="231"/>
        <v>-1.2186170143614303</v>
      </c>
    </row>
    <row r="495" spans="1:34" x14ac:dyDescent="0.2">
      <c r="A495" s="347">
        <f t="shared" ca="1" si="209"/>
        <v>0.1</v>
      </c>
      <c r="B495" s="304">
        <f t="shared" ca="1" si="210"/>
        <v>13.099999999999927</v>
      </c>
      <c r="D495" s="306">
        <f t="shared" ca="1" si="211"/>
        <v>-0.32175159588605834</v>
      </c>
      <c r="E495" s="307">
        <f t="shared" ca="1" si="212"/>
        <v>-10.937352085643589</v>
      </c>
      <c r="F495" s="304">
        <f t="shared" ca="1" si="213"/>
        <v>10.942083655994749</v>
      </c>
      <c r="G495" s="306">
        <f t="shared" ca="1" si="214"/>
        <v>15.157094262618518</v>
      </c>
      <c r="H495" s="307">
        <f t="shared" ca="1" si="215"/>
        <v>52.126372419407069</v>
      </c>
      <c r="I495" s="304">
        <f t="shared" ca="1" si="216"/>
        <v>54.285322215978653</v>
      </c>
      <c r="J495" s="306">
        <f t="shared" ca="1" si="217"/>
        <v>226.76481199921852</v>
      </c>
      <c r="K495" s="307">
        <f t="shared" ca="1" si="218"/>
        <v>1607.4509762223272</v>
      </c>
      <c r="L495" s="304">
        <f t="shared" ca="1" si="203"/>
        <v>1623.3671553038005</v>
      </c>
      <c r="M495" s="306">
        <f t="shared" ca="1" si="219"/>
        <v>1.2878233196544819</v>
      </c>
      <c r="N495" s="304">
        <f t="shared" ca="1" si="220"/>
        <v>73.786840974728932</v>
      </c>
      <c r="P495" s="310">
        <f t="shared" ca="1" si="221"/>
        <v>23</v>
      </c>
      <c r="Q495" s="304">
        <f t="shared" ca="1" si="222"/>
        <v>0</v>
      </c>
      <c r="R495" s="306">
        <f t="shared" ca="1" si="223"/>
        <v>0</v>
      </c>
      <c r="S495" s="307">
        <f t="shared" ca="1" si="224"/>
        <v>6.8519999999999914</v>
      </c>
      <c r="T495" s="304">
        <f t="shared" ca="1" si="204"/>
        <v>67.218119999999914</v>
      </c>
      <c r="U495" s="311">
        <f t="shared" ca="1" si="205"/>
        <v>0</v>
      </c>
      <c r="V495" s="306">
        <f t="shared" ca="1" si="206"/>
        <v>1.0427362569940106</v>
      </c>
      <c r="W495" s="304">
        <f t="shared" ca="1" si="207"/>
        <v>7.7242377641027522</v>
      </c>
      <c r="Y495" s="314" t="str">
        <f t="shared" ca="1" si="225"/>
        <v/>
      </c>
      <c r="Z495" s="315" t="str">
        <f t="shared" ca="1" si="226"/>
        <v/>
      </c>
      <c r="AA495" s="316" t="str">
        <f t="shared" ca="1" si="227"/>
        <v/>
      </c>
      <c r="AC495" s="310" t="e">
        <f t="shared" ca="1" si="228"/>
        <v>#N/A</v>
      </c>
      <c r="AD495" s="323" t="e">
        <f t="shared" ca="1" si="229"/>
        <v>#N/A</v>
      </c>
      <c r="AE495" s="324">
        <f t="shared" ca="1" si="208"/>
        <v>1607.4509762223272</v>
      </c>
      <c r="AG495" s="306">
        <f t="shared" ca="1" si="230"/>
        <v>-10.605688982420652</v>
      </c>
      <c r="AH495" s="304">
        <f t="shared" ca="1" si="231"/>
        <v>-1.1723680371198182</v>
      </c>
    </row>
    <row r="496" spans="1:34" x14ac:dyDescent="0.2">
      <c r="A496" s="347">
        <f t="shared" ca="1" si="209"/>
        <v>0.1</v>
      </c>
      <c r="B496" s="304">
        <f t="shared" ca="1" si="210"/>
        <v>13.199999999999926</v>
      </c>
      <c r="D496" s="306">
        <f t="shared" ca="1" si="211"/>
        <v>-0.31475440067881161</v>
      </c>
      <c r="E496" s="307">
        <f t="shared" ca="1" si="212"/>
        <v>-10.892463751043305</v>
      </c>
      <c r="F496" s="304">
        <f t="shared" ca="1" si="213"/>
        <v>10.897010457026234</v>
      </c>
      <c r="G496" s="306">
        <f t="shared" ca="1" si="214"/>
        <v>15.125618822550637</v>
      </c>
      <c r="H496" s="307">
        <f t="shared" ca="1" si="215"/>
        <v>51.037126044302738</v>
      </c>
      <c r="I496" s="304">
        <f t="shared" ca="1" si="216"/>
        <v>53.231312022409732</v>
      </c>
      <c r="J496" s="306">
        <f t="shared" ca="1" si="217"/>
        <v>228.27894765347699</v>
      </c>
      <c r="K496" s="307">
        <f t="shared" ca="1" si="218"/>
        <v>1612.6091511455127</v>
      </c>
      <c r="L496" s="304">
        <f t="shared" ca="1" si="203"/>
        <v>1628.6864499651338</v>
      </c>
      <c r="M496" s="306">
        <f t="shared" ca="1" si="219"/>
        <v>1.2826777047010791</v>
      </c>
      <c r="N496" s="304">
        <f t="shared" ca="1" si="220"/>
        <v>73.492018954899549</v>
      </c>
      <c r="P496" s="310">
        <f t="shared" ca="1" si="221"/>
        <v>23</v>
      </c>
      <c r="Q496" s="304">
        <f t="shared" ca="1" si="222"/>
        <v>0</v>
      </c>
      <c r="R496" s="306">
        <f t="shared" ca="1" si="223"/>
        <v>0</v>
      </c>
      <c r="S496" s="307">
        <f t="shared" ca="1" si="224"/>
        <v>6.8519999999999914</v>
      </c>
      <c r="T496" s="304">
        <f t="shared" ca="1" si="204"/>
        <v>67.218119999999914</v>
      </c>
      <c r="U496" s="311">
        <f t="shared" ca="1" si="205"/>
        <v>0</v>
      </c>
      <c r="V496" s="306">
        <f t="shared" ca="1" si="206"/>
        <v>1.0421950275565364</v>
      </c>
      <c r="W496" s="304">
        <f t="shared" ca="1" si="207"/>
        <v>7.4233452066720051</v>
      </c>
      <c r="Y496" s="314" t="str">
        <f t="shared" ca="1" si="225"/>
        <v/>
      </c>
      <c r="Z496" s="315" t="str">
        <f t="shared" ca="1" si="226"/>
        <v/>
      </c>
      <c r="AA496" s="316" t="str">
        <f t="shared" ca="1" si="227"/>
        <v/>
      </c>
      <c r="AC496" s="310" t="e">
        <f t="shared" ca="1" si="228"/>
        <v>#N/A</v>
      </c>
      <c r="AD496" s="323" t="e">
        <f t="shared" ca="1" si="229"/>
        <v>#N/A</v>
      </c>
      <c r="AE496" s="324">
        <f t="shared" ca="1" si="208"/>
        <v>1612.6091511455127</v>
      </c>
      <c r="AG496" s="306">
        <f t="shared" ca="1" si="230"/>
        <v>-10.547149041401628</v>
      </c>
      <c r="AH496" s="304">
        <f t="shared" ca="1" si="231"/>
        <v>-1.1272968132082255</v>
      </c>
    </row>
    <row r="497" spans="1:34" x14ac:dyDescent="0.2">
      <c r="A497" s="347">
        <f t="shared" ca="1" si="209"/>
        <v>0.1</v>
      </c>
      <c r="B497" s="304">
        <f t="shared" ca="1" si="210"/>
        <v>13.299999999999926</v>
      </c>
      <c r="D497" s="306">
        <f t="shared" ca="1" si="211"/>
        <v>-0.30784229188206014</v>
      </c>
      <c r="E497" s="307">
        <f t="shared" ca="1" si="212"/>
        <v>-10.848726814213233</v>
      </c>
      <c r="F497" s="304">
        <f t="shared" ca="1" si="213"/>
        <v>10.853093585061377</v>
      </c>
      <c r="G497" s="306">
        <f t="shared" ca="1" si="214"/>
        <v>15.09483459336243</v>
      </c>
      <c r="H497" s="307">
        <f t="shared" ca="1" si="215"/>
        <v>49.952253362881414</v>
      </c>
      <c r="I497" s="304">
        <f t="shared" ca="1" si="216"/>
        <v>52.183154824430353</v>
      </c>
      <c r="J497" s="306">
        <f t="shared" ca="1" si="217"/>
        <v>229.78997032427264</v>
      </c>
      <c r="K497" s="307">
        <f t="shared" ca="1" si="218"/>
        <v>1617.6586201158718</v>
      </c>
      <c r="L497" s="304">
        <f t="shared" ca="1" si="203"/>
        <v>1633.8980511943873</v>
      </c>
      <c r="M497" s="306">
        <f t="shared" ca="1" si="219"/>
        <v>1.2773359157898734</v>
      </c>
      <c r="N497" s="304">
        <f t="shared" ca="1" si="220"/>
        <v>73.185956995237675</v>
      </c>
      <c r="P497" s="310">
        <f t="shared" ca="1" si="221"/>
        <v>23</v>
      </c>
      <c r="Q497" s="304">
        <f t="shared" ca="1" si="222"/>
        <v>0</v>
      </c>
      <c r="R497" s="306">
        <f t="shared" ca="1" si="223"/>
        <v>0</v>
      </c>
      <c r="S497" s="307">
        <f t="shared" ca="1" si="224"/>
        <v>6.8519999999999914</v>
      </c>
      <c r="T497" s="304">
        <f t="shared" ca="1" si="204"/>
        <v>67.218119999999914</v>
      </c>
      <c r="U497" s="311">
        <f t="shared" ca="1" si="205"/>
        <v>0</v>
      </c>
      <c r="V497" s="306">
        <f t="shared" ca="1" si="206"/>
        <v>1.0416654544356645</v>
      </c>
      <c r="W497" s="304">
        <f t="shared" ca="1" si="207"/>
        <v>7.130257985976125</v>
      </c>
      <c r="Y497" s="314" t="str">
        <f t="shared" ca="1" si="225"/>
        <v/>
      </c>
      <c r="Z497" s="315" t="str">
        <f t="shared" ca="1" si="226"/>
        <v/>
      </c>
      <c r="AA497" s="316" t="str">
        <f t="shared" ca="1" si="227"/>
        <v/>
      </c>
      <c r="AC497" s="310" t="e">
        <f t="shared" ca="1" si="228"/>
        <v>#N/A</v>
      </c>
      <c r="AD497" s="323" t="e">
        <f t="shared" ca="1" si="229"/>
        <v>#N/A</v>
      </c>
      <c r="AE497" s="324">
        <f t="shared" ca="1" si="208"/>
        <v>1617.6586201158718</v>
      </c>
      <c r="AG497" s="306">
        <f t="shared" ca="1" si="230"/>
        <v>-10.489017117718609</v>
      </c>
      <c r="AH497" s="304">
        <f t="shared" ca="1" si="231"/>
        <v>-1.0833837137583209</v>
      </c>
    </row>
    <row r="498" spans="1:34" x14ac:dyDescent="0.2">
      <c r="A498" s="347">
        <f t="shared" ca="1" si="209"/>
        <v>0.1</v>
      </c>
      <c r="B498" s="304">
        <f t="shared" ca="1" si="210"/>
        <v>13.399999999999926</v>
      </c>
      <c r="D498" s="306">
        <f t="shared" ca="1" si="211"/>
        <v>-0.30101346035945614</v>
      </c>
      <c r="E498" s="307">
        <f t="shared" ca="1" si="212"/>
        <v>-10.806122252583346</v>
      </c>
      <c r="F498" s="304">
        <f t="shared" ca="1" si="213"/>
        <v>10.81031392888729</v>
      </c>
      <c r="G498" s="306">
        <f t="shared" ca="1" si="214"/>
        <v>15.064733247326485</v>
      </c>
      <c r="H498" s="307">
        <f t="shared" ca="1" si="215"/>
        <v>48.871641137623079</v>
      </c>
      <c r="I498" s="304">
        <f t="shared" ca="1" si="216"/>
        <v>51.140820244670664</v>
      </c>
      <c r="J498" s="306">
        <f t="shared" ca="1" si="217"/>
        <v>231.2979487163071</v>
      </c>
      <c r="K498" s="307">
        <f t="shared" ca="1" si="218"/>
        <v>1622.5998148408971</v>
      </c>
      <c r="L498" s="304">
        <f t="shared" ca="1" si="203"/>
        <v>1639.0024100659782</v>
      </c>
      <c r="M498" s="306">
        <f t="shared" ca="1" si="219"/>
        <v>1.2717870838222851</v>
      </c>
      <c r="N498" s="304">
        <f t="shared" ca="1" si="220"/>
        <v>72.868032342267597</v>
      </c>
      <c r="P498" s="310">
        <f t="shared" ca="1" si="221"/>
        <v>23</v>
      </c>
      <c r="Q498" s="304">
        <f t="shared" ca="1" si="222"/>
        <v>0</v>
      </c>
      <c r="R498" s="306">
        <f t="shared" ca="1" si="223"/>
        <v>0</v>
      </c>
      <c r="S498" s="307">
        <f t="shared" ca="1" si="224"/>
        <v>6.8519999999999914</v>
      </c>
      <c r="T498" s="304">
        <f t="shared" ca="1" si="204"/>
        <v>67.218119999999914</v>
      </c>
      <c r="U498" s="311">
        <f t="shared" ca="1" si="205"/>
        <v>0</v>
      </c>
      <c r="V498" s="306">
        <f t="shared" ca="1" si="206"/>
        <v>1.0411474762331001</v>
      </c>
      <c r="W498" s="304">
        <f t="shared" ca="1" si="207"/>
        <v>6.8448502066656696</v>
      </c>
      <c r="Y498" s="314" t="str">
        <f t="shared" ca="1" si="225"/>
        <v/>
      </c>
      <c r="Z498" s="315" t="str">
        <f t="shared" ca="1" si="226"/>
        <v/>
      </c>
      <c r="AA498" s="316" t="str">
        <f t="shared" ca="1" si="227"/>
        <v/>
      </c>
      <c r="AC498" s="310" t="e">
        <f t="shared" ca="1" si="228"/>
        <v>#N/A</v>
      </c>
      <c r="AD498" s="323" t="e">
        <f t="shared" ca="1" si="229"/>
        <v>#N/A</v>
      </c>
      <c r="AE498" s="324">
        <f t="shared" ca="1" si="208"/>
        <v>1622.5998148408971</v>
      </c>
      <c r="AG498" s="306">
        <f t="shared" ca="1" si="230"/>
        <v>-10.431218788078667</v>
      </c>
      <c r="AH498" s="304">
        <f t="shared" ca="1" si="231"/>
        <v>-1.0406097469317184</v>
      </c>
    </row>
    <row r="499" spans="1:34" x14ac:dyDescent="0.2">
      <c r="A499" s="347">
        <f t="shared" ca="1" si="209"/>
        <v>0.1</v>
      </c>
      <c r="B499" s="304">
        <f t="shared" ca="1" si="210"/>
        <v>13.499999999999925</v>
      </c>
      <c r="D499" s="306">
        <f t="shared" ca="1" si="211"/>
        <v>-0.29426617947991573</v>
      </c>
      <c r="E499" s="307">
        <f t="shared" ca="1" si="212"/>
        <v>-10.764631647728249</v>
      </c>
      <c r="F499" s="304">
        <f t="shared" ca="1" si="213"/>
        <v>10.768652984271446</v>
      </c>
      <c r="G499" s="306">
        <f t="shared" ca="1" si="214"/>
        <v>15.035306629378493</v>
      </c>
      <c r="H499" s="307">
        <f t="shared" ca="1" si="215"/>
        <v>47.795177972850254</v>
      </c>
      <c r="I499" s="304">
        <f t="shared" ca="1" si="216"/>
        <v>50.104286073108184</v>
      </c>
      <c r="J499" s="306">
        <f t="shared" ca="1" si="217"/>
        <v>232.80295071014234</v>
      </c>
      <c r="K499" s="307">
        <f t="shared" ca="1" si="218"/>
        <v>1627.4331557964208</v>
      </c>
      <c r="L499" s="304">
        <f t="shared" ca="1" si="203"/>
        <v>1643.9999666803058</v>
      </c>
      <c r="M499" s="306">
        <f t="shared" ca="1" si="219"/>
        <v>1.2660195480953957</v>
      </c>
      <c r="N499" s="304">
        <f t="shared" ca="1" si="220"/>
        <v>72.537576886925919</v>
      </c>
      <c r="P499" s="310">
        <f t="shared" ca="1" si="221"/>
        <v>23</v>
      </c>
      <c r="Q499" s="304">
        <f t="shared" ca="1" si="222"/>
        <v>0</v>
      </c>
      <c r="R499" s="306">
        <f t="shared" ca="1" si="223"/>
        <v>0</v>
      </c>
      <c r="S499" s="307">
        <f t="shared" ca="1" si="224"/>
        <v>6.8519999999999914</v>
      </c>
      <c r="T499" s="304">
        <f t="shared" ca="1" si="204"/>
        <v>67.218119999999914</v>
      </c>
      <c r="U499" s="311">
        <f t="shared" ca="1" si="205"/>
        <v>0</v>
      </c>
      <c r="V499" s="306">
        <f t="shared" ca="1" si="206"/>
        <v>1.0406410331739895</v>
      </c>
      <c r="W499" s="304">
        <f t="shared" ca="1" si="207"/>
        <v>6.5670000871357912</v>
      </c>
      <c r="Y499" s="314" t="str">
        <f t="shared" ca="1" si="225"/>
        <v/>
      </c>
      <c r="Z499" s="315" t="str">
        <f t="shared" ca="1" si="226"/>
        <v/>
      </c>
      <c r="AA499" s="316" t="str">
        <f t="shared" ca="1" si="227"/>
        <v/>
      </c>
      <c r="AC499" s="310" t="e">
        <f t="shared" ca="1" si="228"/>
        <v>#N/A</v>
      </c>
      <c r="AD499" s="323" t="e">
        <f t="shared" ca="1" si="229"/>
        <v>#N/A</v>
      </c>
      <c r="AE499" s="324">
        <f t="shared" ca="1" si="208"/>
        <v>1627.4331557964208</v>
      </c>
      <c r="AG499" s="306">
        <f t="shared" ca="1" si="230"/>
        <v>-10.37367515471821</v>
      </c>
      <c r="AH499" s="304">
        <f t="shared" ca="1" si="231"/>
        <v>-0.99895653920981875</v>
      </c>
    </row>
    <row r="500" spans="1:34" x14ac:dyDescent="0.2">
      <c r="A500" s="347">
        <f t="shared" ca="1" si="209"/>
        <v>0.1</v>
      </c>
      <c r="B500" s="304">
        <f t="shared" ca="1" si="210"/>
        <v>13.599999999999925</v>
      </c>
      <c r="D500" s="306">
        <f t="shared" ca="1" si="211"/>
        <v>-0.28759880616398859</v>
      </c>
      <c r="E500" s="307">
        <f t="shared" ca="1" si="212"/>
        <v>-10.724237166173133</v>
      </c>
      <c r="F500" s="304">
        <f t="shared" ca="1" si="213"/>
        <v>10.728092834685766</v>
      </c>
      <c r="G500" s="306">
        <f t="shared" ca="1" si="214"/>
        <v>15.006546748762094</v>
      </c>
      <c r="H500" s="307">
        <f t="shared" ca="1" si="215"/>
        <v>46.722754256232939</v>
      </c>
      <c r="I500" s="304">
        <f t="shared" ca="1" si="216"/>
        <v>49.073538802608432</v>
      </c>
      <c r="J500" s="306">
        <f t="shared" ca="1" si="217"/>
        <v>234.30504337904938</v>
      </c>
      <c r="K500" s="307">
        <f t="shared" ca="1" si="218"/>
        <v>1632.1590524078749</v>
      </c>
      <c r="L500" s="304">
        <f t="shared" ca="1" si="203"/>
        <v>1648.8911503522088</v>
      </c>
      <c r="M500" s="306">
        <f t="shared" ca="1" si="219"/>
        <v>1.2600207858952448</v>
      </c>
      <c r="N500" s="304">
        <f t="shared" ca="1" si="220"/>
        <v>72.19387313055465</v>
      </c>
      <c r="P500" s="310">
        <f t="shared" ca="1" si="221"/>
        <v>23</v>
      </c>
      <c r="Q500" s="304">
        <f t="shared" ca="1" si="222"/>
        <v>0</v>
      </c>
      <c r="R500" s="306">
        <f t="shared" ca="1" si="223"/>
        <v>0</v>
      </c>
      <c r="S500" s="307">
        <f t="shared" ca="1" si="224"/>
        <v>6.8519999999999914</v>
      </c>
      <c r="T500" s="304">
        <f t="shared" ca="1" si="204"/>
        <v>67.218119999999914</v>
      </c>
      <c r="U500" s="311">
        <f t="shared" ca="1" si="205"/>
        <v>0</v>
      </c>
      <c r="V500" s="306">
        <f t="shared" ca="1" si="206"/>
        <v>1.0401460670795046</v>
      </c>
      <c r="W500" s="304">
        <f t="shared" ca="1" si="207"/>
        <v>6.2965898415430264</v>
      </c>
      <c r="Y500" s="314" t="str">
        <f t="shared" ca="1" si="225"/>
        <v/>
      </c>
      <c r="Z500" s="315" t="str">
        <f t="shared" ca="1" si="226"/>
        <v/>
      </c>
      <c r="AA500" s="316" t="str">
        <f t="shared" ca="1" si="227"/>
        <v/>
      </c>
      <c r="AC500" s="310" t="e">
        <f t="shared" ca="1" si="228"/>
        <v>#N/A</v>
      </c>
      <c r="AD500" s="323" t="e">
        <f t="shared" ca="1" si="229"/>
        <v>#N/A</v>
      </c>
      <c r="AE500" s="324">
        <f t="shared" ca="1" si="208"/>
        <v>1632.1590524078749</v>
      </c>
      <c r="AG500" s="306">
        <f t="shared" ca="1" si="230"/>
        <v>-10.316302271286984</v>
      </c>
      <c r="AH500" s="304">
        <f t="shared" ca="1" si="231"/>
        <v>-0.95840631744538807</v>
      </c>
    </row>
    <row r="501" spans="1:34" x14ac:dyDescent="0.2">
      <c r="A501" s="347">
        <f t="shared" ca="1" si="209"/>
        <v>0.1</v>
      </c>
      <c r="B501" s="304">
        <f t="shared" ca="1" si="210"/>
        <v>13.699999999999925</v>
      </c>
      <c r="D501" s="306">
        <f t="shared" ca="1" si="211"/>
        <v>-0.28100978231500479</v>
      </c>
      <c r="E501" s="307">
        <f t="shared" ca="1" si="212"/>
        <v>-10.684921540745846</v>
      </c>
      <c r="F501" s="304">
        <f t="shared" ca="1" si="213"/>
        <v>10.688616132580087</v>
      </c>
      <c r="G501" s="306">
        <f t="shared" ca="1" si="214"/>
        <v>14.978445770530595</v>
      </c>
      <c r="H501" s="307">
        <f t="shared" ca="1" si="215"/>
        <v>45.654262102158356</v>
      </c>
      <c r="I501" s="304">
        <f t="shared" ca="1" si="216"/>
        <v>48.048574232679357</v>
      </c>
      <c r="J501" s="306">
        <f t="shared" ca="1" si="217"/>
        <v>235.80429300501402</v>
      </c>
      <c r="K501" s="307">
        <f t="shared" ca="1" si="218"/>
        <v>1636.7779032257945</v>
      </c>
      <c r="L501" s="304">
        <f t="shared" ca="1" si="203"/>
        <v>1653.6763797937681</v>
      </c>
      <c r="M501" s="306">
        <f t="shared" ca="1" si="219"/>
        <v>1.2537773348300643</v>
      </c>
      <c r="N501" s="304">
        <f t="shared" ca="1" si="220"/>
        <v>71.836149734923353</v>
      </c>
      <c r="P501" s="310">
        <f t="shared" ca="1" si="221"/>
        <v>23</v>
      </c>
      <c r="Q501" s="304">
        <f t="shared" ca="1" si="222"/>
        <v>0</v>
      </c>
      <c r="R501" s="306">
        <f t="shared" ca="1" si="223"/>
        <v>0</v>
      </c>
      <c r="S501" s="307">
        <f t="shared" ca="1" si="224"/>
        <v>6.8519999999999914</v>
      </c>
      <c r="T501" s="304">
        <f t="shared" ca="1" si="204"/>
        <v>67.218119999999914</v>
      </c>
      <c r="U501" s="311">
        <f t="shared" ca="1" si="205"/>
        <v>0</v>
      </c>
      <c r="V501" s="306">
        <f t="shared" ca="1" si="206"/>
        <v>1.0396625213403272</v>
      </c>
      <c r="W501" s="304">
        <f t="shared" ca="1" si="207"/>
        <v>6.0335055666120683</v>
      </c>
      <c r="Y501" s="314" t="str">
        <f t="shared" ca="1" si="225"/>
        <v/>
      </c>
      <c r="Z501" s="315" t="str">
        <f t="shared" ca="1" si="226"/>
        <v/>
      </c>
      <c r="AA501" s="316" t="str">
        <f t="shared" ca="1" si="227"/>
        <v/>
      </c>
      <c r="AC501" s="310" t="e">
        <f t="shared" ca="1" si="228"/>
        <v>#N/A</v>
      </c>
      <c r="AD501" s="323" t="e">
        <f t="shared" ca="1" si="229"/>
        <v>#N/A</v>
      </c>
      <c r="AE501" s="324">
        <f t="shared" ca="1" si="208"/>
        <v>1636.7779032257945</v>
      </c>
      <c r="AG501" s="306">
        <f t="shared" ca="1" si="230"/>
        <v>-10.259010499642375</v>
      </c>
      <c r="AH501" s="304">
        <f t="shared" ca="1" si="231"/>
        <v>-0.91894189164375861</v>
      </c>
    </row>
    <row r="502" spans="1:34" x14ac:dyDescent="0.2">
      <c r="A502" s="347">
        <f t="shared" ca="1" si="209"/>
        <v>0.1</v>
      </c>
      <c r="B502" s="304">
        <f t="shared" ca="1" si="210"/>
        <v>13.799999999999924</v>
      </c>
      <c r="D502" s="306">
        <f t="shared" ca="1" si="211"/>
        <v>-0.27449763667227561</v>
      </c>
      <c r="E502" s="307">
        <f t="shared" ca="1" si="212"/>
        <v>-10.646668052416709</v>
      </c>
      <c r="F502" s="304">
        <f t="shared" ca="1" si="213"/>
        <v>10.65020608114647</v>
      </c>
      <c r="G502" s="306">
        <f t="shared" ca="1" si="214"/>
        <v>14.950996006863367</v>
      </c>
      <c r="H502" s="307">
        <f t="shared" ca="1" si="215"/>
        <v>44.589595296916684</v>
      </c>
      <c r="I502" s="304">
        <f t="shared" ca="1" si="216"/>
        <v>47.029398149881303</v>
      </c>
      <c r="J502" s="306">
        <f t="shared" ca="1" si="217"/>
        <v>237.30076509388371</v>
      </c>
      <c r="K502" s="307">
        <f t="shared" ca="1" si="218"/>
        <v>1641.2900960957481</v>
      </c>
      <c r="L502" s="304">
        <f t="shared" ca="1" si="203"/>
        <v>1658.356063291636</v>
      </c>
      <c r="M502" s="306">
        <f t="shared" ca="1" si="219"/>
        <v>1.2472747070771497</v>
      </c>
      <c r="N502" s="304">
        <f t="shared" ca="1" si="220"/>
        <v>71.463576608936705</v>
      </c>
      <c r="P502" s="310">
        <f t="shared" ca="1" si="221"/>
        <v>23</v>
      </c>
      <c r="Q502" s="304">
        <f t="shared" ca="1" si="222"/>
        <v>0</v>
      </c>
      <c r="R502" s="306">
        <f t="shared" ca="1" si="223"/>
        <v>0</v>
      </c>
      <c r="S502" s="307">
        <f t="shared" ca="1" si="224"/>
        <v>6.8519999999999914</v>
      </c>
      <c r="T502" s="304">
        <f t="shared" ca="1" si="204"/>
        <v>67.218119999999914</v>
      </c>
      <c r="U502" s="311">
        <f t="shared" ca="1" si="205"/>
        <v>0</v>
      </c>
      <c r="V502" s="306">
        <f t="shared" ca="1" si="206"/>
        <v>1.0391903408909975</v>
      </c>
      <c r="W502" s="304">
        <f t="shared" ca="1" si="207"/>
        <v>5.7776371330330054</v>
      </c>
      <c r="Y502" s="314" t="str">
        <f t="shared" ca="1" si="225"/>
        <v/>
      </c>
      <c r="Z502" s="315" t="str">
        <f t="shared" ca="1" si="226"/>
        <v/>
      </c>
      <c r="AA502" s="316" t="str">
        <f t="shared" ca="1" si="227"/>
        <v/>
      </c>
      <c r="AC502" s="310" t="e">
        <f t="shared" ca="1" si="228"/>
        <v>#N/A</v>
      </c>
      <c r="AD502" s="323" t="e">
        <f t="shared" ca="1" si="229"/>
        <v>#N/A</v>
      </c>
      <c r="AE502" s="324">
        <f t="shared" ca="1" si="208"/>
        <v>1641.2900960957481</v>
      </c>
      <c r="AG502" s="306">
        <f t="shared" ca="1" si="230"/>
        <v>-10.201703787733988</v>
      </c>
      <c r="AH502" s="304">
        <f t="shared" ca="1" si="231"/>
        <v>-0.88054663844309333</v>
      </c>
    </row>
    <row r="503" spans="1:34" x14ac:dyDescent="0.2">
      <c r="A503" s="347">
        <f t="shared" ca="1" si="209"/>
        <v>0.1</v>
      </c>
      <c r="B503" s="304">
        <f t="shared" ca="1" si="210"/>
        <v>13.899999999999924</v>
      </c>
      <c r="D503" s="306">
        <f t="shared" ca="1" si="211"/>
        <v>-0.26806098712943177</v>
      </c>
      <c r="E503" s="307">
        <f t="shared" ca="1" si="212"/>
        <v>-10.609460512564272</v>
      </c>
      <c r="F503" s="304">
        <f t="shared" ca="1" si="213"/>
        <v>10.612846416512459</v>
      </c>
      <c r="G503" s="306">
        <f t="shared" ca="1" si="214"/>
        <v>14.924189908150424</v>
      </c>
      <c r="H503" s="307">
        <f t="shared" ca="1" si="215"/>
        <v>43.528649245660255</v>
      </c>
      <c r="I503" s="304">
        <f t="shared" ca="1" si="216"/>
        <v>46.016027094548896</v>
      </c>
      <c r="J503" s="306">
        <f t="shared" ca="1" si="217"/>
        <v>238.7945243896344</v>
      </c>
      <c r="K503" s="307">
        <f t="shared" ca="1" si="218"/>
        <v>1645.6960083228769</v>
      </c>
      <c r="L503" s="304">
        <f t="shared" ca="1" si="203"/>
        <v>1662.9305988790759</v>
      </c>
      <c r="M503" s="306">
        <f t="shared" ca="1" si="219"/>
        <v>1.2404972946197725</v>
      </c>
      <c r="N503" s="304">
        <f t="shared" ca="1" si="220"/>
        <v>71.075259479109604</v>
      </c>
      <c r="P503" s="310">
        <f t="shared" ca="1" si="221"/>
        <v>23</v>
      </c>
      <c r="Q503" s="304">
        <f t="shared" ca="1" si="222"/>
        <v>0</v>
      </c>
      <c r="R503" s="306">
        <f t="shared" ca="1" si="223"/>
        <v>0</v>
      </c>
      <c r="S503" s="307">
        <f t="shared" ca="1" si="224"/>
        <v>6.8519999999999914</v>
      </c>
      <c r="T503" s="304">
        <f t="shared" ca="1" si="204"/>
        <v>67.218119999999914</v>
      </c>
      <c r="U503" s="311">
        <f t="shared" ca="1" si="205"/>
        <v>0</v>
      </c>
      <c r="V503" s="306">
        <f t="shared" ca="1" si="206"/>
        <v>1.0387294721851061</v>
      </c>
      <c r="W503" s="304">
        <f t="shared" ca="1" si="207"/>
        <v>5.5288780812588678</v>
      </c>
      <c r="Y503" s="314" t="str">
        <f t="shared" ca="1" si="225"/>
        <v/>
      </c>
      <c r="Z503" s="315" t="str">
        <f t="shared" ca="1" si="226"/>
        <v/>
      </c>
      <c r="AA503" s="316" t="str">
        <f t="shared" ca="1" si="227"/>
        <v/>
      </c>
      <c r="AC503" s="310" t="e">
        <f t="shared" ca="1" si="228"/>
        <v>#N/A</v>
      </c>
      <c r="AD503" s="323" t="e">
        <f t="shared" ca="1" si="229"/>
        <v>#N/A</v>
      </c>
      <c r="AE503" s="324">
        <f t="shared" ca="1" si="208"/>
        <v>1645.6960083228769</v>
      </c>
      <c r="AG503" s="306">
        <f t="shared" ca="1" si="230"/>
        <v>-10.144278857271134</v>
      </c>
      <c r="AH503" s="304">
        <f t="shared" ca="1" si="231"/>
        <v>-0.84320448526459613</v>
      </c>
    </row>
    <row r="504" spans="1:34" x14ac:dyDescent="0.2">
      <c r="A504" s="347">
        <f t="shared" ca="1" si="209"/>
        <v>0.1</v>
      </c>
      <c r="B504" s="304">
        <f t="shared" ca="1" si="210"/>
        <v>13.999999999999924</v>
      </c>
      <c r="D504" s="306">
        <f t="shared" ca="1" si="211"/>
        <v>-0.26169854356763772</v>
      </c>
      <c r="E504" s="307">
        <f t="shared" ca="1" si="212"/>
        <v>-10.573283245600805</v>
      </c>
      <c r="F504" s="304">
        <f t="shared" ca="1" si="213"/>
        <v>10.576521390296913</v>
      </c>
      <c r="G504" s="306">
        <f t="shared" ca="1" si="214"/>
        <v>14.89802005379366</v>
      </c>
      <c r="H504" s="307">
        <f t="shared" ca="1" si="215"/>
        <v>42.471320921100173</v>
      </c>
      <c r="I504" s="304">
        <f t="shared" ca="1" si="216"/>
        <v>45.008489224882005</v>
      </c>
      <c r="J504" s="306">
        <f t="shared" ca="1" si="217"/>
        <v>240.28563488773162</v>
      </c>
      <c r="K504" s="307">
        <f t="shared" ca="1" si="218"/>
        <v>1649.9960068312148</v>
      </c>
      <c r="L504" s="304">
        <f t="shared" ca="1" si="203"/>
        <v>1667.4003745028831</v>
      </c>
      <c r="M504" s="306">
        <f t="shared" ca="1" si="219"/>
        <v>1.2334282644429189</v>
      </c>
      <c r="N504" s="304">
        <f t="shared" ca="1" si="220"/>
        <v>70.670233884725278</v>
      </c>
      <c r="P504" s="310">
        <f t="shared" ca="1" si="221"/>
        <v>23</v>
      </c>
      <c r="Q504" s="304">
        <f t="shared" ca="1" si="222"/>
        <v>0</v>
      </c>
      <c r="R504" s="306">
        <f t="shared" ca="1" si="223"/>
        <v>0</v>
      </c>
      <c r="S504" s="307">
        <f t="shared" ca="1" si="224"/>
        <v>6.8519999999999914</v>
      </c>
      <c r="T504" s="304">
        <f t="shared" ca="1" si="204"/>
        <v>67.218119999999914</v>
      </c>
      <c r="U504" s="311">
        <f t="shared" ca="1" si="205"/>
        <v>0</v>
      </c>
      <c r="V504" s="306">
        <f t="shared" ca="1" si="206"/>
        <v>1.0382798631712935</v>
      </c>
      <c r="W504" s="304">
        <f t="shared" ca="1" si="207"/>
        <v>5.2871255215220447</v>
      </c>
      <c r="Y504" s="314" t="str">
        <f t="shared" ca="1" si="225"/>
        <v/>
      </c>
      <c r="Z504" s="315" t="str">
        <f t="shared" ca="1" si="226"/>
        <v/>
      </c>
      <c r="AA504" s="316" t="str">
        <f t="shared" ca="1" si="227"/>
        <v/>
      </c>
      <c r="AC504" s="310">
        <f t="shared" ca="1" si="228"/>
        <v>13.999999999999924</v>
      </c>
      <c r="AD504" s="323">
        <f t="shared" ca="1" si="229"/>
        <v>240.28563488773162</v>
      </c>
      <c r="AE504" s="324">
        <f t="shared" ca="1" si="208"/>
        <v>1649.9960068312148</v>
      </c>
      <c r="AG504" s="306">
        <f t="shared" ca="1" si="230"/>
        <v>-10.086624288141701</v>
      </c>
      <c r="AH504" s="304">
        <f t="shared" ca="1" si="231"/>
        <v>-0.80689989510491456</v>
      </c>
    </row>
    <row r="505" spans="1:34" x14ac:dyDescent="0.2">
      <c r="A505" s="347">
        <f t="shared" ca="1" si="209"/>
        <v>0.1</v>
      </c>
      <c r="B505" s="304">
        <f t="shared" ca="1" si="210"/>
        <v>14.099999999999923</v>
      </c>
      <c r="D505" s="306">
        <f t="shared" ca="1" si="211"/>
        <v>-0.25540911126107396</v>
      </c>
      <c r="E505" s="307">
        <f t="shared" ca="1" si="212"/>
        <v>-10.538121071885644</v>
      </c>
      <c r="F505" s="304">
        <f t="shared" ca="1" si="213"/>
        <v>10.541215752456422</v>
      </c>
      <c r="G505" s="306">
        <f t="shared" ca="1" si="214"/>
        <v>14.872479142667553</v>
      </c>
      <c r="H505" s="307">
        <f t="shared" ca="1" si="215"/>
        <v>41.41750881391161</v>
      </c>
      <c r="I505" s="304">
        <f t="shared" ca="1" si="216"/>
        <v>44.006825291078741</v>
      </c>
      <c r="J505" s="306">
        <f t="shared" ca="1" si="217"/>
        <v>241.77415984755467</v>
      </c>
      <c r="K505" s="307">
        <f t="shared" ca="1" si="218"/>
        <v>1654.1904483179653</v>
      </c>
      <c r="L505" s="304">
        <f t="shared" ca="1" si="203"/>
        <v>1671.7657681853586</v>
      </c>
      <c r="M505" s="306">
        <f t="shared" ca="1" si="219"/>
        <v>1.2260494425382953</v>
      </c>
      <c r="N505" s="304">
        <f t="shared" ca="1" si="220"/>
        <v>70.24745853181166</v>
      </c>
      <c r="P505" s="310">
        <f t="shared" ca="1" si="221"/>
        <v>23</v>
      </c>
      <c r="Q505" s="304">
        <f t="shared" ca="1" si="222"/>
        <v>0</v>
      </c>
      <c r="R505" s="306">
        <f t="shared" ca="1" si="223"/>
        <v>0</v>
      </c>
      <c r="S505" s="307">
        <f t="shared" ca="1" si="224"/>
        <v>6.8519999999999914</v>
      </c>
      <c r="T505" s="304">
        <f t="shared" ca="1" si="204"/>
        <v>67.218119999999914</v>
      </c>
      <c r="U505" s="311">
        <f t="shared" ca="1" si="205"/>
        <v>0</v>
      </c>
      <c r="V505" s="306">
        <f t="shared" ca="1" si="206"/>
        <v>1.0378414632700426</v>
      </c>
      <c r="W505" s="304">
        <f t="shared" ca="1" si="207"/>
        <v>5.0522800378963693</v>
      </c>
      <c r="Y505" s="314" t="str">
        <f t="shared" ca="1" si="225"/>
        <v/>
      </c>
      <c r="Z505" s="315" t="str">
        <f t="shared" ca="1" si="226"/>
        <v/>
      </c>
      <c r="AA505" s="316" t="str">
        <f t="shared" ca="1" si="227"/>
        <v/>
      </c>
      <c r="AC505" s="310" t="e">
        <f t="shared" ca="1" si="228"/>
        <v>#N/A</v>
      </c>
      <c r="AD505" s="323" t="e">
        <f t="shared" ca="1" si="229"/>
        <v>#N/A</v>
      </c>
      <c r="AE505" s="324">
        <f t="shared" ca="1" si="208"/>
        <v>1654.1904483179653</v>
      </c>
      <c r="AG505" s="306">
        <f t="shared" ca="1" si="230"/>
        <v>-10.028619484553154</v>
      </c>
      <c r="AH505" s="304">
        <f t="shared" ca="1" si="231"/>
        <v>-0.77161785194425736</v>
      </c>
    </row>
    <row r="506" spans="1:34" x14ac:dyDescent="0.2">
      <c r="A506" s="347">
        <f t="shared" ca="1" si="209"/>
        <v>0.1</v>
      </c>
      <c r="B506" s="304">
        <f t="shared" ca="1" si="210"/>
        <v>14.199999999999923</v>
      </c>
      <c r="D506" s="306">
        <f t="shared" ca="1" si="211"/>
        <v>-0.24919159492088114</v>
      </c>
      <c r="E506" s="307">
        <f t="shared" ca="1" si="212"/>
        <v>-10.503959290847398</v>
      </c>
      <c r="F506" s="304">
        <f t="shared" ca="1" si="213"/>
        <v>10.506914734343216</v>
      </c>
      <c r="G506" s="306">
        <f t="shared" ca="1" si="214"/>
        <v>14.847559983175465</v>
      </c>
      <c r="H506" s="307">
        <f t="shared" ca="1" si="215"/>
        <v>40.367112884826867</v>
      </c>
      <c r="I506" s="304">
        <f t="shared" ca="1" si="216"/>
        <v>43.011089734048227</v>
      </c>
      <c r="J506" s="306">
        <f t="shared" ca="1" si="217"/>
        <v>243.26016180384681</v>
      </c>
      <c r="K506" s="307">
        <f t="shared" ca="1" si="218"/>
        <v>1658.2796794029023</v>
      </c>
      <c r="L506" s="304">
        <f t="shared" ca="1" si="203"/>
        <v>1676.0271481815043</v>
      </c>
      <c r="M506" s="306">
        <f t="shared" ca="1" si="219"/>
        <v>1.2183411854398425</v>
      </c>
      <c r="N506" s="304">
        <f t="shared" ca="1" si="220"/>
        <v>69.805807932668557</v>
      </c>
      <c r="P506" s="310">
        <f t="shared" ca="1" si="221"/>
        <v>23</v>
      </c>
      <c r="Q506" s="304">
        <f t="shared" ca="1" si="222"/>
        <v>0</v>
      </c>
      <c r="R506" s="306">
        <f t="shared" ca="1" si="223"/>
        <v>0</v>
      </c>
      <c r="S506" s="307">
        <f t="shared" ca="1" si="224"/>
        <v>6.8519999999999914</v>
      </c>
      <c r="T506" s="304">
        <f t="shared" ca="1" si="204"/>
        <v>67.218119999999914</v>
      </c>
      <c r="U506" s="311">
        <f t="shared" ca="1" si="205"/>
        <v>0</v>
      </c>
      <c r="V506" s="306">
        <f t="shared" ca="1" si="206"/>
        <v>1.037414223351228</v>
      </c>
      <c r="W506" s="304">
        <f t="shared" ca="1" si="207"/>
        <v>4.8242455962392095</v>
      </c>
      <c r="Y506" s="314" t="str">
        <f t="shared" ca="1" si="225"/>
        <v/>
      </c>
      <c r="Z506" s="315" t="str">
        <f t="shared" ca="1" si="226"/>
        <v/>
      </c>
      <c r="AA506" s="316" t="str">
        <f t="shared" ca="1" si="227"/>
        <v/>
      </c>
      <c r="AC506" s="310" t="e">
        <f t="shared" ca="1" si="228"/>
        <v>#N/A</v>
      </c>
      <c r="AD506" s="323" t="e">
        <f t="shared" ca="1" si="229"/>
        <v>#N/A</v>
      </c>
      <c r="AE506" s="324">
        <f t="shared" ca="1" si="208"/>
        <v>1658.2796794029023</v>
      </c>
      <c r="AG506" s="306">
        <f t="shared" ca="1" si="230"/>
        <v>-9.9701335055536475</v>
      </c>
      <c r="AH506" s="304">
        <f t="shared" ca="1" si="231"/>
        <v>-0.7373438467449468</v>
      </c>
    </row>
    <row r="507" spans="1:34" x14ac:dyDescent="0.2">
      <c r="A507" s="347">
        <f t="shared" ca="1" si="209"/>
        <v>0.1</v>
      </c>
      <c r="B507" s="304">
        <f t="shared" ca="1" si="210"/>
        <v>14.299999999999923</v>
      </c>
      <c r="D507" s="306">
        <f t="shared" ca="1" si="211"/>
        <v>-0.24304500345388907</v>
      </c>
      <c r="E507" s="307">
        <f t="shared" ca="1" si="212"/>
        <v>-10.470783664227231</v>
      </c>
      <c r="F507" s="304">
        <f t="shared" ca="1" si="213"/>
        <v>10.473604031886623</v>
      </c>
      <c r="G507" s="306">
        <f t="shared" ca="1" si="214"/>
        <v>14.823255482830076</v>
      </c>
      <c r="H507" s="307">
        <f t="shared" ca="1" si="215"/>
        <v>39.320034518404142</v>
      </c>
      <c r="I507" s="304">
        <f t="shared" ca="1" si="216"/>
        <v>42.021351925393184</v>
      </c>
      <c r="J507" s="306">
        <f t="shared" ca="1" si="217"/>
        <v>244.7437025771471</v>
      </c>
      <c r="K507" s="307">
        <f t="shared" ca="1" si="218"/>
        <v>1662.2640367730639</v>
      </c>
      <c r="L507" s="304">
        <f t="shared" ca="1" si="203"/>
        <v>1680.1848731316006</v>
      </c>
      <c r="M507" s="306">
        <f t="shared" ca="1" si="219"/>
        <v>1.2102822378713365</v>
      </c>
      <c r="N507" s="304">
        <f t="shared" ca="1" si="220"/>
        <v>69.344064249675952</v>
      </c>
      <c r="P507" s="310">
        <f t="shared" ca="1" si="221"/>
        <v>23</v>
      </c>
      <c r="Q507" s="304">
        <f t="shared" ca="1" si="222"/>
        <v>0</v>
      </c>
      <c r="R507" s="306">
        <f t="shared" ca="1" si="223"/>
        <v>0</v>
      </c>
      <c r="S507" s="307">
        <f t="shared" ca="1" si="224"/>
        <v>6.8519999999999914</v>
      </c>
      <c r="T507" s="304">
        <f t="shared" ca="1" si="204"/>
        <v>67.218119999999914</v>
      </c>
      <c r="U507" s="311">
        <f t="shared" ca="1" si="205"/>
        <v>0</v>
      </c>
      <c r="V507" s="306">
        <f t="shared" ca="1" si="206"/>
        <v>1.0369980957124056</v>
      </c>
      <c r="W507" s="304">
        <f t="shared" ca="1" si="207"/>
        <v>4.6029294558550635</v>
      </c>
      <c r="Y507" s="314" t="str">
        <f t="shared" ca="1" si="225"/>
        <v/>
      </c>
      <c r="Z507" s="315" t="str">
        <f t="shared" ca="1" si="226"/>
        <v/>
      </c>
      <c r="AA507" s="316" t="str">
        <f t="shared" ca="1" si="227"/>
        <v/>
      </c>
      <c r="AC507" s="310" t="e">
        <f t="shared" ca="1" si="228"/>
        <v>#N/A</v>
      </c>
      <c r="AD507" s="323" t="e">
        <f t="shared" ca="1" si="229"/>
        <v>#N/A</v>
      </c>
      <c r="AE507" s="324">
        <f t="shared" ca="1" si="208"/>
        <v>1662.2640367730639</v>
      </c>
      <c r="AG507" s="306">
        <f t="shared" ca="1" si="230"/>
        <v>-9.9110237399170469</v>
      </c>
      <c r="AH507" s="304">
        <f t="shared" ca="1" si="231"/>
        <v>-0.70406386401623111</v>
      </c>
    </row>
    <row r="508" spans="1:34" x14ac:dyDescent="0.2">
      <c r="A508" s="347">
        <f t="shared" ca="1" si="209"/>
        <v>0.1</v>
      </c>
      <c r="B508" s="304">
        <f t="shared" ca="1" si="210"/>
        <v>14.399999999999922</v>
      </c>
      <c r="D508" s="306">
        <f t="shared" ca="1" si="211"/>
        <v>-0.23696845552412704</v>
      </c>
      <c r="E508" s="307">
        <f t="shared" ca="1" si="212"/>
        <v>-10.438580399344414</v>
      </c>
      <c r="F508" s="304">
        <f t="shared" ca="1" si="213"/>
        <v>10.441269788799199</v>
      </c>
      <c r="G508" s="306">
        <f t="shared" ca="1" si="214"/>
        <v>14.799558637277663</v>
      </c>
      <c r="H508" s="307">
        <f t="shared" ca="1" si="215"/>
        <v>38.276176478469701</v>
      </c>
      <c r="I508" s="304">
        <f t="shared" ca="1" si="216"/>
        <v>41.037697567836048</v>
      </c>
      <c r="J508" s="306">
        <f t="shared" ca="1" si="217"/>
        <v>246.2248432831525</v>
      </c>
      <c r="K508" s="307">
        <f t="shared" ca="1" si="218"/>
        <v>1666.1438473229077</v>
      </c>
      <c r="L508" s="304">
        <f t="shared" ca="1" si="203"/>
        <v>1684.2392922093327</v>
      </c>
      <c r="M508" s="306">
        <f t="shared" ca="1" si="219"/>
        <v>1.20184957493863</v>
      </c>
      <c r="N508" s="304">
        <f t="shared" ca="1" si="220"/>
        <v>68.86090825357546</v>
      </c>
      <c r="P508" s="310">
        <f t="shared" ca="1" si="221"/>
        <v>23</v>
      </c>
      <c r="Q508" s="304">
        <f t="shared" ca="1" si="222"/>
        <v>0</v>
      </c>
      <c r="R508" s="306">
        <f t="shared" ca="1" si="223"/>
        <v>0</v>
      </c>
      <c r="S508" s="307">
        <f t="shared" ca="1" si="224"/>
        <v>6.8519999999999914</v>
      </c>
      <c r="T508" s="304">
        <f t="shared" ca="1" si="204"/>
        <v>67.218119999999914</v>
      </c>
      <c r="U508" s="311">
        <f t="shared" ca="1" si="205"/>
        <v>0</v>
      </c>
      <c r="V508" s="306">
        <f t="shared" ca="1" si="206"/>
        <v>1.0365930340578118</v>
      </c>
      <c r="W508" s="304">
        <f t="shared" ca="1" si="207"/>
        <v>4.3882420847285895</v>
      </c>
      <c r="Y508" s="314" t="str">
        <f t="shared" ca="1" si="225"/>
        <v/>
      </c>
      <c r="Z508" s="315" t="str">
        <f t="shared" ca="1" si="226"/>
        <v/>
      </c>
      <c r="AA508" s="316" t="str">
        <f t="shared" ca="1" si="227"/>
        <v/>
      </c>
      <c r="AC508" s="310" t="e">
        <f t="shared" ca="1" si="228"/>
        <v>#N/A</v>
      </c>
      <c r="AD508" s="323" t="e">
        <f t="shared" ca="1" si="229"/>
        <v>#N/A</v>
      </c>
      <c r="AE508" s="324">
        <f t="shared" ca="1" si="208"/>
        <v>1666.1438473229077</v>
      </c>
      <c r="AG508" s="306">
        <f t="shared" ca="1" si="230"/>
        <v>-9.8511344022897394</v>
      </c>
      <c r="AH508" s="304">
        <f t="shared" ca="1" si="231"/>
        <v>-0.67176436892222258</v>
      </c>
    </row>
    <row r="509" spans="1:34" x14ac:dyDescent="0.2">
      <c r="A509" s="347">
        <f t="shared" ca="1" si="209"/>
        <v>0.1</v>
      </c>
      <c r="B509" s="304">
        <f t="shared" ca="1" si="210"/>
        <v>14.499999999999922</v>
      </c>
      <c r="D509" s="306">
        <f t="shared" ca="1" si="211"/>
        <v>-0.23096118601855628</v>
      </c>
      <c r="E509" s="307">
        <f t="shared" ca="1" si="212"/>
        <v>-10.40733613227192</v>
      </c>
      <c r="F509" s="304">
        <f t="shared" ca="1" si="213"/>
        <v>10.409898579695181</v>
      </c>
      <c r="G509" s="306">
        <f t="shared" ca="1" si="214"/>
        <v>14.776462518675807</v>
      </c>
      <c r="H509" s="307">
        <f t="shared" ca="1" si="215"/>
        <v>37.235442865242511</v>
      </c>
      <c r="I509" s="304">
        <f t="shared" ca="1" si="216"/>
        <v>40.060230278127086</v>
      </c>
      <c r="J509" s="306">
        <f t="shared" ca="1" si="217"/>
        <v>247.70364434095018</v>
      </c>
      <c r="K509" s="307">
        <f t="shared" ca="1" si="218"/>
        <v>1669.9194282900933</v>
      </c>
      <c r="L509" s="304">
        <f t="shared" ca="1" si="203"/>
        <v>1688.190745265623</v>
      </c>
      <c r="M509" s="306">
        <f t="shared" ca="1" si="219"/>
        <v>1.1930182271429459</v>
      </c>
      <c r="N509" s="304">
        <f t="shared" ca="1" si="220"/>
        <v>68.354909297470599</v>
      </c>
      <c r="P509" s="310">
        <f t="shared" ca="1" si="221"/>
        <v>23</v>
      </c>
      <c r="Q509" s="304">
        <f t="shared" ca="1" si="222"/>
        <v>0</v>
      </c>
      <c r="R509" s="306">
        <f t="shared" ca="1" si="223"/>
        <v>0</v>
      </c>
      <c r="S509" s="307">
        <f t="shared" ca="1" si="224"/>
        <v>6.8519999999999914</v>
      </c>
      <c r="T509" s="304">
        <f t="shared" ca="1" si="204"/>
        <v>67.218119999999914</v>
      </c>
      <c r="U509" s="311">
        <f t="shared" ca="1" si="205"/>
        <v>0</v>
      </c>
      <c r="V509" s="306">
        <f t="shared" ca="1" si="206"/>
        <v>1.03619899347805</v>
      </c>
      <c r="W509" s="304">
        <f t="shared" ca="1" si="207"/>
        <v>4.1800970781810687</v>
      </c>
      <c r="Y509" s="314" t="str">
        <f t="shared" ca="1" si="225"/>
        <v/>
      </c>
      <c r="Z509" s="315" t="str">
        <f t="shared" ca="1" si="226"/>
        <v/>
      </c>
      <c r="AA509" s="316" t="str">
        <f t="shared" ca="1" si="227"/>
        <v/>
      </c>
      <c r="AC509" s="310" t="e">
        <f t="shared" ca="1" si="228"/>
        <v>#N/A</v>
      </c>
      <c r="AD509" s="323" t="e">
        <f t="shared" ca="1" si="229"/>
        <v>#N/A</v>
      </c>
      <c r="AE509" s="324">
        <f t="shared" ca="1" si="208"/>
        <v>1669.9194282900933</v>
      </c>
      <c r="AG509" s="306">
        <f t="shared" ca="1" si="230"/>
        <v>-9.7902948239451355</v>
      </c>
      <c r="AH509" s="304">
        <f t="shared" ca="1" si="231"/>
        <v>-0.64043229491076981</v>
      </c>
    </row>
    <row r="510" spans="1:34" x14ac:dyDescent="0.2">
      <c r="A510" s="347">
        <f t="shared" ca="1" si="209"/>
        <v>0.1</v>
      </c>
      <c r="B510" s="304">
        <f t="shared" ca="1" si="210"/>
        <v>14.599999999999921</v>
      </c>
      <c r="D510" s="306">
        <f t="shared" ca="1" si="211"/>
        <v>-0.22502255353395006</v>
      </c>
      <c r="E510" s="307">
        <f t="shared" ca="1" si="212"/>
        <v>-10.377037910793229</v>
      </c>
      <c r="F510" s="304">
        <f t="shared" ca="1" si="213"/>
        <v>10.37947739299233</v>
      </c>
      <c r="G510" s="306">
        <f t="shared" ca="1" si="214"/>
        <v>14.753960263322412</v>
      </c>
      <c r="H510" s="307">
        <f t="shared" ca="1" si="215"/>
        <v>36.197739074163188</v>
      </c>
      <c r="I510" s="304">
        <f t="shared" ca="1" si="216"/>
        <v>39.089073377772685</v>
      </c>
      <c r="J510" s="306">
        <f t="shared" ca="1" si="217"/>
        <v>249.18016548005008</v>
      </c>
      <c r="K510" s="307">
        <f t="shared" ca="1" si="218"/>
        <v>1673.5910873870635</v>
      </c>
      <c r="L510" s="304">
        <f t="shared" ca="1" si="203"/>
        <v>1692.0395629683364</v>
      </c>
      <c r="M510" s="306">
        <f t="shared" ca="1" si="219"/>
        <v>1.1837610863321872</v>
      </c>
      <c r="N510" s="304">
        <f t="shared" ca="1" si="220"/>
        <v>67.824514198655805</v>
      </c>
      <c r="P510" s="310">
        <f t="shared" ca="1" si="221"/>
        <v>23</v>
      </c>
      <c r="Q510" s="304">
        <f t="shared" ca="1" si="222"/>
        <v>0</v>
      </c>
      <c r="R510" s="306">
        <f t="shared" ca="1" si="223"/>
        <v>0</v>
      </c>
      <c r="S510" s="307">
        <f t="shared" ca="1" si="224"/>
        <v>6.8519999999999914</v>
      </c>
      <c r="T510" s="304">
        <f t="shared" ca="1" si="204"/>
        <v>67.218119999999914</v>
      </c>
      <c r="U510" s="311">
        <f t="shared" ca="1" si="205"/>
        <v>0</v>
      </c>
      <c r="V510" s="306">
        <f t="shared" ca="1" si="206"/>
        <v>1.0358159304304457</v>
      </c>
      <c r="W510" s="304">
        <f t="shared" ca="1" si="207"/>
        <v>3.9784110808096624</v>
      </c>
      <c r="Y510" s="314" t="str">
        <f t="shared" ca="1" si="225"/>
        <v/>
      </c>
      <c r="Z510" s="315" t="str">
        <f t="shared" ca="1" si="226"/>
        <v/>
      </c>
      <c r="AA510" s="316" t="str">
        <f t="shared" ca="1" si="227"/>
        <v/>
      </c>
      <c r="AC510" s="310" t="e">
        <f t="shared" ca="1" si="228"/>
        <v>#N/A</v>
      </c>
      <c r="AD510" s="323" t="e">
        <f t="shared" ca="1" si="229"/>
        <v>#N/A</v>
      </c>
      <c r="AE510" s="324">
        <f t="shared" ca="1" si="208"/>
        <v>1673.5910873870635</v>
      </c>
      <c r="AG510" s="306">
        <f t="shared" ca="1" si="230"/>
        <v>-9.7283175074191846</v>
      </c>
      <c r="AH510" s="304">
        <f t="shared" ca="1" si="231"/>
        <v>-0.61005503184195475</v>
      </c>
    </row>
    <row r="511" spans="1:34" x14ac:dyDescent="0.2">
      <c r="A511" s="347">
        <f t="shared" ca="1" si="209"/>
        <v>0.1</v>
      </c>
      <c r="B511" s="304">
        <f t="shared" ca="1" si="210"/>
        <v>14.699999999999921</v>
      </c>
      <c r="D511" s="306">
        <f t="shared" ca="1" si="211"/>
        <v>-0.21915204901965668</v>
      </c>
      <c r="E511" s="307">
        <f t="shared" ca="1" si="212"/>
        <v>-10.347673176991151</v>
      </c>
      <c r="F511" s="304">
        <f t="shared" ca="1" si="213"/>
        <v>10.349993613447868</v>
      </c>
      <c r="G511" s="306">
        <f t="shared" ca="1" si="214"/>
        <v>14.732045058420447</v>
      </c>
      <c r="H511" s="307">
        <f t="shared" ca="1" si="215"/>
        <v>35.162971756464074</v>
      </c>
      <c r="I511" s="304">
        <f t="shared" ca="1" si="216"/>
        <v>38.124371920717856</v>
      </c>
      <c r="J511" s="306">
        <f t="shared" ca="1" si="217"/>
        <v>250.65446574613722</v>
      </c>
      <c r="K511" s="307">
        <f t="shared" ca="1" si="218"/>
        <v>1677.1591229285948</v>
      </c>
      <c r="L511" s="304">
        <f t="shared" ca="1" si="203"/>
        <v>1695.7860669380129</v>
      </c>
      <c r="M511" s="306">
        <f t="shared" ca="1" si="219"/>
        <v>1.1740486905505845</v>
      </c>
      <c r="N511" s="304">
        <f t="shared" ca="1" si="220"/>
        <v>67.268034911409302</v>
      </c>
      <c r="P511" s="310">
        <f t="shared" ca="1" si="221"/>
        <v>23</v>
      </c>
      <c r="Q511" s="304">
        <f t="shared" ca="1" si="222"/>
        <v>0</v>
      </c>
      <c r="R511" s="306">
        <f t="shared" ca="1" si="223"/>
        <v>0</v>
      </c>
      <c r="S511" s="307">
        <f t="shared" ca="1" si="224"/>
        <v>6.8519999999999914</v>
      </c>
      <c r="T511" s="304">
        <f t="shared" ca="1" si="204"/>
        <v>67.218119999999914</v>
      </c>
      <c r="U511" s="311">
        <f t="shared" ca="1" si="205"/>
        <v>0</v>
      </c>
      <c r="V511" s="306">
        <f t="shared" ca="1" si="206"/>
        <v>1.0354438027200346</v>
      </c>
      <c r="W511" s="304">
        <f t="shared" ca="1" si="207"/>
        <v>3.783103711573645</v>
      </c>
      <c r="Y511" s="314" t="str">
        <f t="shared" ca="1" si="225"/>
        <v/>
      </c>
      <c r="Z511" s="315" t="str">
        <f t="shared" ca="1" si="226"/>
        <v/>
      </c>
      <c r="AA511" s="316" t="str">
        <f t="shared" ca="1" si="227"/>
        <v/>
      </c>
      <c r="AC511" s="310" t="e">
        <f t="shared" ca="1" si="228"/>
        <v>#N/A</v>
      </c>
      <c r="AD511" s="323" t="e">
        <f t="shared" ca="1" si="229"/>
        <v>#N/A</v>
      </c>
      <c r="AE511" s="324">
        <f t="shared" ca="1" si="208"/>
        <v>1677.1591229285948</v>
      </c>
      <c r="AG511" s="306">
        <f t="shared" ca="1" si="230"/>
        <v>-9.6649959096531433</v>
      </c>
      <c r="AH511" s="304">
        <f t="shared" ca="1" si="231"/>
        <v>-0.58062041459568992</v>
      </c>
    </row>
    <row r="512" spans="1:34" x14ac:dyDescent="0.2">
      <c r="A512" s="347">
        <f t="shared" ca="1" si="209"/>
        <v>0.1</v>
      </c>
      <c r="B512" s="304">
        <f t="shared" ca="1" si="210"/>
        <v>14.799999999999921</v>
      </c>
      <c r="D512" s="306">
        <f t="shared" ca="1" si="211"/>
        <v>-0.21334930573144947</v>
      </c>
      <c r="E512" s="307">
        <f t="shared" ca="1" si="212"/>
        <v>-10.3192297492946</v>
      </c>
      <c r="F512" s="304">
        <f t="shared" ca="1" si="213"/>
        <v>10.321435004154354</v>
      </c>
      <c r="G512" s="306">
        <f t="shared" ca="1" si="214"/>
        <v>14.710710127847301</v>
      </c>
      <c r="H512" s="307">
        <f t="shared" ca="1" si="215"/>
        <v>34.131048781534616</v>
      </c>
      <c r="I512" s="304">
        <f t="shared" ca="1" si="216"/>
        <v>37.166294991471034</v>
      </c>
      <c r="J512" s="306">
        <f t="shared" ca="1" si="217"/>
        <v>252.12660350545062</v>
      </c>
      <c r="K512" s="307">
        <f t="shared" ca="1" si="218"/>
        <v>1680.6238239554948</v>
      </c>
      <c r="L512" s="304">
        <f t="shared" ca="1" si="203"/>
        <v>1699.4305698798007</v>
      </c>
      <c r="M512" s="306">
        <f t="shared" ca="1" si="219"/>
        <v>1.1638489856025624</v>
      </c>
      <c r="N512" s="304">
        <f t="shared" ca="1" si="220"/>
        <v>66.683634865608937</v>
      </c>
      <c r="P512" s="310">
        <f t="shared" ca="1" si="221"/>
        <v>23</v>
      </c>
      <c r="Q512" s="304">
        <f t="shared" ca="1" si="222"/>
        <v>0</v>
      </c>
      <c r="R512" s="306">
        <f t="shared" ca="1" si="223"/>
        <v>0</v>
      </c>
      <c r="S512" s="307">
        <f t="shared" ca="1" si="224"/>
        <v>6.8519999999999914</v>
      </c>
      <c r="T512" s="304">
        <f t="shared" ca="1" si="204"/>
        <v>67.218119999999914</v>
      </c>
      <c r="U512" s="311">
        <f t="shared" ca="1" si="205"/>
        <v>0</v>
      </c>
      <c r="V512" s="306">
        <f t="shared" ca="1" si="206"/>
        <v>1.0350825694811698</v>
      </c>
      <c r="W512" s="304">
        <f t="shared" ca="1" si="207"/>
        <v>3.5940974918960689</v>
      </c>
      <c r="Y512" s="314" t="str">
        <f t="shared" ca="1" si="225"/>
        <v/>
      </c>
      <c r="Z512" s="315" t="str">
        <f t="shared" ca="1" si="226"/>
        <v/>
      </c>
      <c r="AA512" s="316" t="str">
        <f t="shared" ca="1" si="227"/>
        <v/>
      </c>
      <c r="AC512" s="310" t="e">
        <f t="shared" ca="1" si="228"/>
        <v>#N/A</v>
      </c>
      <c r="AD512" s="323" t="e">
        <f t="shared" ca="1" si="229"/>
        <v>#N/A</v>
      </c>
      <c r="AE512" s="324">
        <f t="shared" ca="1" si="208"/>
        <v>1680.6238239554948</v>
      </c>
      <c r="AG512" s="306">
        <f t="shared" ca="1" si="230"/>
        <v>-9.6001019130031811</v>
      </c>
      <c r="AH512" s="304">
        <f t="shared" ca="1" si="231"/>
        <v>-0.55211671213859448</v>
      </c>
    </row>
    <row r="513" spans="1:34" x14ac:dyDescent="0.2">
      <c r="A513" s="347">
        <f t="shared" ca="1" si="209"/>
        <v>0.1</v>
      </c>
      <c r="B513" s="304">
        <f t="shared" ca="1" si="210"/>
        <v>14.89999999999992</v>
      </c>
      <c r="D513" s="306">
        <f t="shared" ca="1" si="211"/>
        <v>-0.20761411067512084</v>
      </c>
      <c r="E513" s="307">
        <f t="shared" ca="1" si="212"/>
        <v>-10.291695803778605</v>
      </c>
      <c r="F513" s="304">
        <f t="shared" ca="1" si="213"/>
        <v>10.293789687790673</v>
      </c>
      <c r="G513" s="306">
        <f t="shared" ca="1" si="214"/>
        <v>14.689948716779789</v>
      </c>
      <c r="H513" s="307">
        <f t="shared" ca="1" si="215"/>
        <v>33.101879201156756</v>
      </c>
      <c r="I513" s="304">
        <f t="shared" ca="1" si="216"/>
        <v>36.215038312137601</v>
      </c>
      <c r="J513" s="306">
        <f t="shared" ca="1" si="217"/>
        <v>253.59663644768196</v>
      </c>
      <c r="K513" s="307">
        <f t="shared" ca="1" si="218"/>
        <v>1683.9854703546293</v>
      </c>
      <c r="L513" s="304">
        <f t="shared" ca="1" si="203"/>
        <v>1702.9733757117522</v>
      </c>
      <c r="M513" s="306">
        <f t="shared" ca="1" si="219"/>
        <v>1.1531270610284012</v>
      </c>
      <c r="N513" s="304">
        <f t="shared" ca="1" si="220"/>
        <v>66.069313839251905</v>
      </c>
      <c r="P513" s="310">
        <f t="shared" ca="1" si="221"/>
        <v>23</v>
      </c>
      <c r="Q513" s="304">
        <f t="shared" ca="1" si="222"/>
        <v>0</v>
      </c>
      <c r="R513" s="306">
        <f t="shared" ca="1" si="223"/>
        <v>0</v>
      </c>
      <c r="S513" s="307">
        <f t="shared" ca="1" si="224"/>
        <v>6.8519999999999914</v>
      </c>
      <c r="T513" s="304">
        <f t="shared" ca="1" si="204"/>
        <v>67.218119999999914</v>
      </c>
      <c r="U513" s="311">
        <f t="shared" ca="1" si="205"/>
        <v>0</v>
      </c>
      <c r="V513" s="306">
        <f t="shared" ca="1" si="206"/>
        <v>1.03473219115972</v>
      </c>
      <c r="W513" s="304">
        <f t="shared" ca="1" si="207"/>
        <v>3.4113177766528184</v>
      </c>
      <c r="Y513" s="314" t="str">
        <f t="shared" ca="1" si="225"/>
        <v/>
      </c>
      <c r="Z513" s="315" t="str">
        <f t="shared" ca="1" si="226"/>
        <v/>
      </c>
      <c r="AA513" s="316" t="str">
        <f t="shared" ca="1" si="227"/>
        <v/>
      </c>
      <c r="AC513" s="310" t="e">
        <f t="shared" ca="1" si="228"/>
        <v>#N/A</v>
      </c>
      <c r="AD513" s="323" t="e">
        <f t="shared" ca="1" si="229"/>
        <v>#N/A</v>
      </c>
      <c r="AE513" s="324">
        <f t="shared" ca="1" si="208"/>
        <v>1683.9854703546293</v>
      </c>
      <c r="AG513" s="306">
        <f t="shared" ca="1" si="230"/>
        <v>-9.5333829375617078</v>
      </c>
      <c r="AH513" s="304">
        <f t="shared" ca="1" si="231"/>
        <v>-0.52453261703095055</v>
      </c>
    </row>
    <row r="514" spans="1:34" x14ac:dyDescent="0.2">
      <c r="A514" s="347">
        <f t="shared" ca="1" si="209"/>
        <v>0.1</v>
      </c>
      <c r="B514" s="304">
        <f t="shared" ca="1" si="210"/>
        <v>14.99999999999992</v>
      </c>
      <c r="D514" s="306">
        <f t="shared" ca="1" si="211"/>
        <v>-0.20194641774525884</v>
      </c>
      <c r="E514" s="307">
        <f t="shared" ca="1" si="212"/>
        <v>-10.265059854475469</v>
      </c>
      <c r="F514" s="304">
        <f t="shared" ca="1" si="213"/>
        <v>10.267046126885964</v>
      </c>
      <c r="G514" s="306">
        <f t="shared" ca="1" si="214"/>
        <v>14.669754075005264</v>
      </c>
      <c r="H514" s="307">
        <f t="shared" ca="1" si="215"/>
        <v>32.075373215709206</v>
      </c>
      <c r="I514" s="304">
        <f t="shared" ca="1" si="216"/>
        <v>35.270827202493692</v>
      </c>
      <c r="J514" s="306">
        <f t="shared" ca="1" si="217"/>
        <v>255.0646215872712</v>
      </c>
      <c r="K514" s="307">
        <f t="shared" ca="1" si="218"/>
        <v>1687.2443329754726</v>
      </c>
      <c r="L514" s="304">
        <f t="shared" ca="1" si="203"/>
        <v>1706.4147796896582</v>
      </c>
      <c r="M514" s="306">
        <f t="shared" ca="1" si="219"/>
        <v>1.1418448581173966</v>
      </c>
      <c r="N514" s="304">
        <f t="shared" ca="1" si="220"/>
        <v>65.422891228841124</v>
      </c>
      <c r="P514" s="310">
        <f t="shared" ca="1" si="221"/>
        <v>23</v>
      </c>
      <c r="Q514" s="304">
        <f t="shared" ca="1" si="222"/>
        <v>0</v>
      </c>
      <c r="R514" s="306">
        <f t="shared" ca="1" si="223"/>
        <v>0</v>
      </c>
      <c r="S514" s="307">
        <f t="shared" ca="1" si="224"/>
        <v>6.8519999999999914</v>
      </c>
      <c r="T514" s="304">
        <f t="shared" ca="1" si="204"/>
        <v>67.218119999999914</v>
      </c>
      <c r="U514" s="311">
        <f t="shared" ca="1" si="205"/>
        <v>0</v>
      </c>
      <c r="V514" s="306">
        <f t="shared" ca="1" si="206"/>
        <v>1.0343926294958306</v>
      </c>
      <c r="W514" s="304">
        <f t="shared" ca="1" si="207"/>
        <v>3.234692687923943</v>
      </c>
      <c r="Y514" s="314" t="str">
        <f t="shared" ca="1" si="225"/>
        <v/>
      </c>
      <c r="Z514" s="315" t="str">
        <f t="shared" ca="1" si="226"/>
        <v/>
      </c>
      <c r="AA514" s="316" t="str">
        <f t="shared" ca="1" si="227"/>
        <v/>
      </c>
      <c r="AC514" s="310">
        <f t="shared" ca="1" si="228"/>
        <v>14.99999999999992</v>
      </c>
      <c r="AD514" s="323">
        <f t="shared" ca="1" si="229"/>
        <v>255.0646215872712</v>
      </c>
      <c r="AE514" s="324">
        <f t="shared" ca="1" si="208"/>
        <v>1687.2443329754726</v>
      </c>
      <c r="AG514" s="306">
        <f t="shared" ca="1" si="230"/>
        <v>-9.4645586416742464</v>
      </c>
      <c r="AH514" s="304">
        <f t="shared" ca="1" si="231"/>
        <v>-0.49785723535505294</v>
      </c>
    </row>
    <row r="515" spans="1:34" x14ac:dyDescent="0.2">
      <c r="A515" s="347">
        <f t="shared" ca="1" si="209"/>
        <v>0.1</v>
      </c>
      <c r="B515" s="304">
        <f t="shared" ca="1" si="210"/>
        <v>15.09999999999992</v>
      </c>
      <c r="D515" s="306">
        <f t="shared" ca="1" si="211"/>
        <v>-0.19634636279511219</v>
      </c>
      <c r="E515" s="307">
        <f t="shared" ca="1" si="212"/>
        <v>-10.23931073240899</v>
      </c>
      <c r="F515" s="304">
        <f t="shared" ca="1" si="213"/>
        <v>10.241193102808325</v>
      </c>
      <c r="G515" s="306">
        <f t="shared" ca="1" si="214"/>
        <v>14.650119438725753</v>
      </c>
      <c r="H515" s="307">
        <f t="shared" ca="1" si="215"/>
        <v>31.051442142468307</v>
      </c>
      <c r="I515" s="304">
        <f t="shared" ca="1" si="216"/>
        <v>34.333919943635721</v>
      </c>
      <c r="J515" s="306">
        <f t="shared" ca="1" si="217"/>
        <v>256.53061526295778</v>
      </c>
      <c r="K515" s="307">
        <f t="shared" ca="1" si="218"/>
        <v>1690.4006737433815</v>
      </c>
      <c r="L515" s="304">
        <f t="shared" ca="1" si="203"/>
        <v>1709.7550685286094</v>
      </c>
      <c r="M515" s="306">
        <f t="shared" ca="1" si="219"/>
        <v>1.1299608475879863</v>
      </c>
      <c r="N515" s="304">
        <f t="shared" ca="1" si="220"/>
        <v>64.741987581816886</v>
      </c>
      <c r="P515" s="310">
        <f t="shared" ca="1" si="221"/>
        <v>23</v>
      </c>
      <c r="Q515" s="304">
        <f t="shared" ca="1" si="222"/>
        <v>0</v>
      </c>
      <c r="R515" s="306">
        <f t="shared" ca="1" si="223"/>
        <v>0</v>
      </c>
      <c r="S515" s="307">
        <f t="shared" ca="1" si="224"/>
        <v>6.8519999999999914</v>
      </c>
      <c r="T515" s="304">
        <f t="shared" ca="1" si="204"/>
        <v>67.218119999999914</v>
      </c>
      <c r="U515" s="311">
        <f t="shared" ca="1" si="205"/>
        <v>0</v>
      </c>
      <c r="V515" s="306">
        <f t="shared" ca="1" si="206"/>
        <v>1.0340638475072237</v>
      </c>
      <c r="W515" s="304">
        <f t="shared" ca="1" si="207"/>
        <v>3.0641530513841588</v>
      </c>
      <c r="Y515" s="314" t="str">
        <f t="shared" ca="1" si="225"/>
        <v/>
      </c>
      <c r="Z515" s="315" t="str">
        <f t="shared" ca="1" si="226"/>
        <v/>
      </c>
      <c r="AA515" s="316" t="str">
        <f t="shared" ca="1" si="227"/>
        <v/>
      </c>
      <c r="AC515" s="310" t="e">
        <f t="shared" ca="1" si="228"/>
        <v>#N/A</v>
      </c>
      <c r="AD515" s="323" t="e">
        <f t="shared" ca="1" si="229"/>
        <v>#N/A</v>
      </c>
      <c r="AE515" s="324">
        <f t="shared" ca="1" si="208"/>
        <v>1690.4006737433815</v>
      </c>
      <c r="AG515" s="306">
        <f t="shared" ca="1" si="230"/>
        <v>-9.3933171503824866</v>
      </c>
      <c r="AH515" s="304">
        <f t="shared" ca="1" si="231"/>
        <v>-0.47208007704669397</v>
      </c>
    </row>
    <row r="516" spans="1:34" x14ac:dyDescent="0.2">
      <c r="A516" s="347">
        <f t="shared" ca="1" si="209"/>
        <v>0.1</v>
      </c>
      <c r="B516" s="304">
        <f t="shared" ca="1" si="210"/>
        <v>15.199999999999919</v>
      </c>
      <c r="D516" s="306">
        <f t="shared" ca="1" si="211"/>
        <v>-0.19081428090783073</v>
      </c>
      <c r="E516" s="307">
        <f t="shared" ca="1" si="212"/>
        <v>-10.214437563007444</v>
      </c>
      <c r="F516" s="304">
        <f t="shared" ca="1" si="213"/>
        <v>10.216219693133846</v>
      </c>
      <c r="G516" s="306">
        <f t="shared" ca="1" si="214"/>
        <v>14.63103801063497</v>
      </c>
      <c r="H516" s="307">
        <f t="shared" ca="1" si="215"/>
        <v>30.029998386167563</v>
      </c>
      <c r="I516" s="304">
        <f t="shared" ca="1" si="216"/>
        <v>33.404611602919019</v>
      </c>
      <c r="J516" s="306">
        <f t="shared" ca="1" si="217"/>
        <v>257.99467313542584</v>
      </c>
      <c r="K516" s="307">
        <f t="shared" ca="1" si="218"/>
        <v>1693.4547457698134</v>
      </c>
      <c r="L516" s="304">
        <f t="shared" ref="L516:L579" ca="1" si="232">SQRT(pos_x^2+pos_z^2)</f>
        <v>1712.9945205214635</v>
      </c>
      <c r="M516" s="306">
        <f t="shared" ca="1" si="219"/>
        <v>1.1174296746849202</v>
      </c>
      <c r="N516" s="304">
        <f t="shared" ca="1" si="220"/>
        <v>64.024004262122489</v>
      </c>
      <c r="P516" s="310">
        <f t="shared" ca="1" si="221"/>
        <v>23</v>
      </c>
      <c r="Q516" s="304">
        <f t="shared" ca="1" si="222"/>
        <v>0</v>
      </c>
      <c r="R516" s="306">
        <f t="shared" ca="1" si="223"/>
        <v>0</v>
      </c>
      <c r="S516" s="307">
        <f t="shared" ca="1" si="224"/>
        <v>6.8519999999999914</v>
      </c>
      <c r="T516" s="304">
        <f t="shared" ref="T516:T579" ca="1" si="233">m*g</f>
        <v>67.218119999999914</v>
      </c>
      <c r="U516" s="311">
        <f t="shared" ref="U516:U579" ca="1" si="234">IF(pos_xz&lt;L_rampe,Poids*COS(Beta),0)</f>
        <v>0</v>
      </c>
      <c r="V516" s="306">
        <f t="shared" ref="V516:V579" ca="1" si="235">Rho_moyen*(20000-Alt_rampe-pos_z)/(20000+Alt_rampe+pos_z)</f>
        <v>1.0337458094730125</v>
      </c>
      <c r="W516" s="304">
        <f t="shared" ref="W516:W579" ca="1" si="236">1/2*Rho*Sref*Cx*vit_xz^2</f>
        <v>2.8996323352106983</v>
      </c>
      <c r="Y516" s="314" t="str">
        <f t="shared" ca="1" si="225"/>
        <v/>
      </c>
      <c r="Z516" s="315" t="str">
        <f t="shared" ca="1" si="226"/>
        <v/>
      </c>
      <c r="AA516" s="316" t="str">
        <f t="shared" ca="1" si="227"/>
        <v/>
      </c>
      <c r="AC516" s="310" t="e">
        <f t="shared" ca="1" si="228"/>
        <v>#N/A</v>
      </c>
      <c r="AD516" s="323" t="e">
        <f t="shared" ca="1" si="229"/>
        <v>#N/A</v>
      </c>
      <c r="AE516" s="324">
        <f t="shared" ref="AE516:AE579" ca="1" si="237">IF(t&lt;T_para, pos_z, NA())</f>
        <v>1693.4547457698134</v>
      </c>
      <c r="AG516" s="306">
        <f t="shared" ca="1" si="230"/>
        <v>-9.3193107439165424</v>
      </c>
      <c r="AH516" s="304">
        <f t="shared" ca="1" si="231"/>
        <v>-0.44719104661181591</v>
      </c>
    </row>
    <row r="517" spans="1:34" x14ac:dyDescent="0.2">
      <c r="A517" s="347">
        <f t="shared" ref="A517:A580" ca="1" si="238">IF(B516+0.01&lt;=T_ini+ROUNDUP(Temps_fin_propu,0), 0.01, IF(K516&gt;0, 0.1, 0.0001))</f>
        <v>0.1</v>
      </c>
      <c r="B517" s="304">
        <f t="shared" ref="B517:B580" ca="1" si="239">B516+pas</f>
        <v>15.299999999999919</v>
      </c>
      <c r="D517" s="306">
        <f t="shared" ref="D517:D580" ca="1" si="240">IF(AND(L516&lt;L_rampe,Poussee&lt;Poids*SIN(M516)),0,(-W516+Poussee)/m*COS(M516)-U516/m*SIN(M516))</f>
        <v>-0.18535072617789558</v>
      </c>
      <c r="E517" s="307">
        <f t="shared" ref="E517:E580" ca="1" si="241">IF(AND(L516&lt;L_rampe,Poussee&lt;Poids*SIN(M516)),0,(-W516+Poussee)/m*SIN(M516)+U516/m*COS(M516)-Poids/m)</f>
        <v>-10.190429741481864</v>
      </c>
      <c r="F517" s="304">
        <f t="shared" ref="F517:F580" ca="1" si="242">SQRT(acc_x^2+acc_z^2)</f>
        <v>10.192115246982484</v>
      </c>
      <c r="G517" s="306">
        <f t="shared" ref="G517:G580" ca="1" si="243">G516+acc_x*pas</f>
        <v>14.612502938017181</v>
      </c>
      <c r="H517" s="307">
        <f t="shared" ref="H517:H580" ca="1" si="244">H516+acc_z*pas</f>
        <v>29.010955412019378</v>
      </c>
      <c r="I517" s="304">
        <f t="shared" ref="I517:I580" ca="1" si="245">SQRT(vit_x^2+vit_z^2)</f>
        <v>32.48323838584659</v>
      </c>
      <c r="J517" s="306">
        <f t="shared" ref="J517:J580" ca="1" si="246">J516+0.5*(vit_x+G516)*pas*(K516&gt;=0)</f>
        <v>259.45685018285843</v>
      </c>
      <c r="K517" s="307">
        <f t="shared" ref="K517:K580" ca="1" si="247">K516+0.5*(vit_z+H516)*pas</f>
        <v>1696.4067934597226</v>
      </c>
      <c r="L517" s="304">
        <f t="shared" ca="1" si="232"/>
        <v>1716.1334056544404</v>
      </c>
      <c r="M517" s="306">
        <f t="shared" ref="M517:M580" ca="1" si="248">IF(AND(L516&gt;L_rampe,G517&gt;0),ATAN2(G517,H517),$M$4)</f>
        <v>1.1042017697389273</v>
      </c>
      <c r="N517" s="304">
        <f t="shared" ref="N517:N580" ca="1" si="249">DEGREES(Beta)</f>
        <v>63.266101136916873</v>
      </c>
      <c r="P517" s="310">
        <f t="shared" ref="P517:P580" ca="1" si="250">MATCH(t-pas/2-T_ini,CdP_t)</f>
        <v>23</v>
      </c>
      <c r="Q517" s="304">
        <f t="shared" ref="Q517:Q580" ca="1" si="251">(INDEX(CdP,2,i_P+1)-INDEX(CdP,2,i_P+0))/(INDEX(CdP,1,i_P+1)-INDEX(CdP,1,i_P+0))*(t-pas/2-T_ini-INDEX(CdP,1,i_P+0))+INDEX(CdP,2,i_P+0)</f>
        <v>0</v>
      </c>
      <c r="R517" s="306">
        <f t="shared" ref="R517:R580" ca="1" si="252">Poussee/(g*ISP)</f>
        <v>0</v>
      </c>
      <c r="S517" s="307">
        <f t="shared" ref="S517:S580" ca="1" si="253">S516-Débit*pas</f>
        <v>6.8519999999999914</v>
      </c>
      <c r="T517" s="304">
        <f t="shared" ca="1" si="233"/>
        <v>67.218119999999914</v>
      </c>
      <c r="U517" s="311">
        <f t="shared" ca="1" si="234"/>
        <v>0</v>
      </c>
      <c r="V517" s="306">
        <f t="shared" ca="1" si="235"/>
        <v>1.0334384809179931</v>
      </c>
      <c r="W517" s="304">
        <f t="shared" ca="1" si="236"/>
        <v>2.7410665913868182</v>
      </c>
      <c r="Y517" s="314" t="str">
        <f t="shared" ref="Y517:Y580" ca="1" si="254">IF(AND(pos_z&lt;=0,K516&gt;0),"Impact balistique","") &amp; IF(AND(H518&lt;0,vit_z&gt;=0),"Apogée","") &amp; IF(AND(Poussee=0,Q516&gt;0),"Fin de propulsion","") &amp; IF(AND(L518&gt;L_rampe,pos_xz&lt;=L_rampe),"Sortie de rampe","")</f>
        <v/>
      </c>
      <c r="Z517" s="315" t="str">
        <f t="shared" ref="Z517:Z580" ca="1" si="255">IF(ABS(t-T_para)&lt;pas/2,"Para","")</f>
        <v/>
      </c>
      <c r="AA517" s="316" t="str">
        <f t="shared" ref="AA517:AA580" ca="1" si="256">IF(ABS(t-T_satellite)&lt;pas/2,"Satellite","")</f>
        <v/>
      </c>
      <c r="AC517" s="310" t="e">
        <f t="shared" ref="AC517:AC580" ca="1" si="257">IF(ABS(t-ROUND(t,0))&lt;0.001,t,NA())</f>
        <v>#N/A</v>
      </c>
      <c r="AD517" s="323" t="e">
        <f t="shared" ref="AD517:AD580" ca="1" si="258">IF(ABS(t-ROUND(t,0))&lt;0.001,pos_x,NA())</f>
        <v>#N/A</v>
      </c>
      <c r="AE517" s="324">
        <f t="shared" ca="1" si="237"/>
        <v>1696.4067934597226</v>
      </c>
      <c r="AG517" s="306">
        <f t="shared" ref="AG517:AG580" ca="1" si="259">IF(AND(L516&lt;L_rampe,Poussee&lt;Poids*SIN(M516)),0,(-W516+Poussee)/m-Poids*SIN(M516)/m)</f>
        <v>-9.2421509305644474</v>
      </c>
      <c r="AH517" s="304">
        <f t="shared" ref="AH517:AH580" ca="1" si="260">IF(AND(L516&lt;L_rampe,Poussee&lt;Poids*SIN(M516)), g*SIN(M516), (-W516+Poussee)/m)</f>
        <v>-0.42318043421055196</v>
      </c>
    </row>
    <row r="518" spans="1:34" x14ac:dyDescent="0.2">
      <c r="A518" s="347">
        <f t="shared" ca="1" si="238"/>
        <v>0.1</v>
      </c>
      <c r="B518" s="304">
        <f t="shared" ca="1" si="239"/>
        <v>15.399999999999919</v>
      </c>
      <c r="D518" s="306">
        <f t="shared" ca="1" si="240"/>
        <v>-0.17995649435414374</v>
      </c>
      <c r="E518" s="307">
        <f t="shared" ca="1" si="241"/>
        <v>-10.167276905671562</v>
      </c>
      <c r="F518" s="304">
        <f t="shared" ca="1" si="242"/>
        <v>10.168869357822556</v>
      </c>
      <c r="G518" s="306">
        <f t="shared" ca="1" si="243"/>
        <v>14.594507288581767</v>
      </c>
      <c r="H518" s="307">
        <f t="shared" ca="1" si="244"/>
        <v>27.994227721452223</v>
      </c>
      <c r="I518" s="304">
        <f t="shared" ca="1" si="245"/>
        <v>31.570182589224764</v>
      </c>
      <c r="J518" s="306">
        <f t="shared" ca="1" si="246"/>
        <v>260.91720069418835</v>
      </c>
      <c r="K518" s="307">
        <f t="shared" ca="1" si="247"/>
        <v>1699.2570526163961</v>
      </c>
      <c r="L518" s="304">
        <f t="shared" ca="1" si="232"/>
        <v>1719.1719857200596</v>
      </c>
      <c r="M518" s="306">
        <f t="shared" ca="1" si="248"/>
        <v>1.0902229227847873</v>
      </c>
      <c r="N518" s="304">
        <f t="shared" ca="1" si="249"/>
        <v>62.465172203985347</v>
      </c>
      <c r="P518" s="310">
        <f t="shared" ca="1" si="250"/>
        <v>23</v>
      </c>
      <c r="Q518" s="304">
        <f t="shared" ca="1" si="251"/>
        <v>0</v>
      </c>
      <c r="R518" s="306">
        <f t="shared" ca="1" si="252"/>
        <v>0</v>
      </c>
      <c r="S518" s="307">
        <f t="shared" ca="1" si="253"/>
        <v>6.8519999999999914</v>
      </c>
      <c r="T518" s="304">
        <f t="shared" ca="1" si="233"/>
        <v>67.218119999999914</v>
      </c>
      <c r="U518" s="311">
        <f t="shared" ca="1" si="234"/>
        <v>0</v>
      </c>
      <c r="V518" s="306">
        <f t="shared" ca="1" si="235"/>
        <v>1.0331418285973903</v>
      </c>
      <c r="W518" s="304">
        <f t="shared" ca="1" si="236"/>
        <v>2.5883943992784513</v>
      </c>
      <c r="Y518" s="314" t="str">
        <f t="shared" ca="1" si="254"/>
        <v/>
      </c>
      <c r="Z518" s="315" t="str">
        <f t="shared" ca="1" si="255"/>
        <v/>
      </c>
      <c r="AA518" s="316" t="str">
        <f t="shared" ca="1" si="256"/>
        <v/>
      </c>
      <c r="AC518" s="310" t="e">
        <f t="shared" ca="1" si="257"/>
        <v>#N/A</v>
      </c>
      <c r="AD518" s="323" t="e">
        <f t="shared" ca="1" si="258"/>
        <v>#N/A</v>
      </c>
      <c r="AE518" s="324">
        <f t="shared" ca="1" si="237"/>
        <v>1699.2570526163961</v>
      </c>
      <c r="AG518" s="306">
        <f t="shared" ca="1" si="259"/>
        <v>-9.1614028207305314</v>
      </c>
      <c r="AH518" s="304">
        <f t="shared" ca="1" si="260"/>
        <v>-0.40003890709089635</v>
      </c>
    </row>
    <row r="519" spans="1:34" x14ac:dyDescent="0.2">
      <c r="A519" s="347">
        <f t="shared" ca="1" si="238"/>
        <v>0.1</v>
      </c>
      <c r="B519" s="304">
        <f t="shared" ca="1" si="239"/>
        <v>15.499999999999918</v>
      </c>
      <c r="D519" s="306">
        <f t="shared" ca="1" si="240"/>
        <v>-0.17463264874213624</v>
      </c>
      <c r="E519" s="307">
        <f t="shared" ca="1" si="241"/>
        <v>-10.144968905754872</v>
      </c>
      <c r="F519" s="304">
        <f t="shared" ca="1" si="242"/>
        <v>10.146471833141799</v>
      </c>
      <c r="G519" s="306">
        <f t="shared" ca="1" si="243"/>
        <v>14.577044023707552</v>
      </c>
      <c r="H519" s="307">
        <f t="shared" ca="1" si="244"/>
        <v>26.979730830876736</v>
      </c>
      <c r="I519" s="304">
        <f t="shared" ca="1" si="245"/>
        <v>30.665878239105901</v>
      </c>
      <c r="J519" s="306">
        <f t="shared" ca="1" si="246"/>
        <v>262.37577825980281</v>
      </c>
      <c r="K519" s="307">
        <f t="shared" ca="1" si="247"/>
        <v>1702.0057505440125</v>
      </c>
      <c r="L519" s="304">
        <f t="shared" ca="1" si="232"/>
        <v>1722.1105144276671</v>
      </c>
      <c r="M519" s="306">
        <f t="shared" ca="1" si="248"/>
        <v>1.0754338217498065</v>
      </c>
      <c r="N519" s="304">
        <f t="shared" ca="1" si="249"/>
        <v>61.617819131888389</v>
      </c>
      <c r="P519" s="310">
        <f t="shared" ca="1" si="250"/>
        <v>23</v>
      </c>
      <c r="Q519" s="304">
        <f t="shared" ca="1" si="251"/>
        <v>0</v>
      </c>
      <c r="R519" s="306">
        <f t="shared" ca="1" si="252"/>
        <v>0</v>
      </c>
      <c r="S519" s="307">
        <f t="shared" ca="1" si="253"/>
        <v>6.8519999999999914</v>
      </c>
      <c r="T519" s="304">
        <f t="shared" ca="1" si="233"/>
        <v>67.218119999999914</v>
      </c>
      <c r="U519" s="311">
        <f t="shared" ca="1" si="234"/>
        <v>0</v>
      </c>
      <c r="V519" s="306">
        <f t="shared" ca="1" si="235"/>
        <v>1.0328558204820171</v>
      </c>
      <c r="W519" s="304">
        <f t="shared" ca="1" si="236"/>
        <v>2.4415568113591331</v>
      </c>
      <c r="Y519" s="314" t="str">
        <f t="shared" ca="1" si="254"/>
        <v/>
      </c>
      <c r="Z519" s="315" t="str">
        <f t="shared" ca="1" si="255"/>
        <v/>
      </c>
      <c r="AA519" s="316" t="str">
        <f t="shared" ca="1" si="256"/>
        <v/>
      </c>
      <c r="AC519" s="310" t="e">
        <f t="shared" ca="1" si="257"/>
        <v>#N/A</v>
      </c>
      <c r="AD519" s="323" t="e">
        <f t="shared" ca="1" si="258"/>
        <v>#N/A</v>
      </c>
      <c r="AE519" s="324">
        <f t="shared" ca="1" si="237"/>
        <v>1702.0057505440125</v>
      </c>
      <c r="AG519" s="306">
        <f t="shared" ca="1" si="259"/>
        <v>-9.07657871251741</v>
      </c>
      <c r="AH519" s="304">
        <f t="shared" ca="1" si="260"/>
        <v>-0.37775750135412356</v>
      </c>
    </row>
    <row r="520" spans="1:34" x14ac:dyDescent="0.2">
      <c r="A520" s="347">
        <f t="shared" ca="1" si="238"/>
        <v>0.1</v>
      </c>
      <c r="B520" s="304">
        <f t="shared" ca="1" si="239"/>
        <v>15.599999999999918</v>
      </c>
      <c r="D520" s="306">
        <f t="shared" ca="1" si="240"/>
        <v>-0.16938054981280834</v>
      </c>
      <c r="E520" s="307">
        <f t="shared" ca="1" si="241"/>
        <v>-10.123495770096</v>
      </c>
      <c r="F520" s="304">
        <f t="shared" ca="1" si="242"/>
        <v>10.124912660255717</v>
      </c>
      <c r="G520" s="306">
        <f t="shared" ca="1" si="243"/>
        <v>14.560105968726271</v>
      </c>
      <c r="H520" s="307">
        <f t="shared" ca="1" si="244"/>
        <v>25.967381253867135</v>
      </c>
      <c r="I520" s="304">
        <f t="shared" ca="1" si="245"/>
        <v>29.770817506481556</v>
      </c>
      <c r="J520" s="306">
        <f t="shared" ca="1" si="246"/>
        <v>263.83263575942453</v>
      </c>
      <c r="K520" s="307">
        <f t="shared" ca="1" si="247"/>
        <v>1704.6531061482497</v>
      </c>
      <c r="L520" s="304">
        <f t="shared" ca="1" si="232"/>
        <v>1724.9492375118291</v>
      </c>
      <c r="M520" s="306">
        <f t="shared" ca="1" si="248"/>
        <v>1.0597695551572446</v>
      </c>
      <c r="N520" s="304">
        <f t="shared" ca="1" si="249"/>
        <v>60.720322766966824</v>
      </c>
      <c r="P520" s="310">
        <f t="shared" ca="1" si="250"/>
        <v>23</v>
      </c>
      <c r="Q520" s="304">
        <f t="shared" ca="1" si="251"/>
        <v>0</v>
      </c>
      <c r="R520" s="306">
        <f t="shared" ca="1" si="252"/>
        <v>0</v>
      </c>
      <c r="S520" s="307">
        <f t="shared" ca="1" si="253"/>
        <v>6.8519999999999914</v>
      </c>
      <c r="T520" s="304">
        <f t="shared" ca="1" si="233"/>
        <v>67.218119999999914</v>
      </c>
      <c r="U520" s="311">
        <f t="shared" ca="1" si="234"/>
        <v>0</v>
      </c>
      <c r="V520" s="306">
        <f t="shared" ca="1" si="235"/>
        <v>1.0325804257438158</v>
      </c>
      <c r="W520" s="304">
        <f t="shared" ca="1" si="236"/>
        <v>2.3004973009546372</v>
      </c>
      <c r="Y520" s="314" t="str">
        <f t="shared" ca="1" si="254"/>
        <v/>
      </c>
      <c r="Z520" s="315" t="str">
        <f t="shared" ca="1" si="255"/>
        <v/>
      </c>
      <c r="AA520" s="316" t="str">
        <f t="shared" ca="1" si="256"/>
        <v/>
      </c>
      <c r="AC520" s="310" t="e">
        <f t="shared" ca="1" si="257"/>
        <v>#N/A</v>
      </c>
      <c r="AD520" s="323" t="e">
        <f t="shared" ca="1" si="258"/>
        <v>#N/A</v>
      </c>
      <c r="AE520" s="324">
        <f t="shared" ca="1" si="237"/>
        <v>1704.6531061482497</v>
      </c>
      <c r="AG520" s="306">
        <f t="shared" ca="1" si="259"/>
        <v>-8.9871307949250419</v>
      </c>
      <c r="AH520" s="304">
        <f t="shared" ca="1" si="260"/>
        <v>-0.35632761403373264</v>
      </c>
    </row>
    <row r="521" spans="1:34" x14ac:dyDescent="0.2">
      <c r="A521" s="347">
        <f t="shared" ca="1" si="238"/>
        <v>0.1</v>
      </c>
      <c r="B521" s="304">
        <f t="shared" ca="1" si="239"/>
        <v>15.699999999999918</v>
      </c>
      <c r="D521" s="306">
        <f t="shared" ca="1" si="240"/>
        <v>-0.16420188901471178</v>
      </c>
      <c r="E521" s="307">
        <f t="shared" ca="1" si="241"/>
        <v>-10.102847666343132</v>
      </c>
      <c r="F521" s="304">
        <f t="shared" ca="1" si="242"/>
        <v>10.104181967368307</v>
      </c>
      <c r="G521" s="306">
        <f t="shared" ca="1" si="243"/>
        <v>14.5436857798248</v>
      </c>
      <c r="H521" s="307">
        <f t="shared" ca="1" si="244"/>
        <v>24.957096487232821</v>
      </c>
      <c r="I521" s="304">
        <f t="shared" ca="1" si="245"/>
        <v>28.885558002838149</v>
      </c>
      <c r="J521" s="306">
        <f t="shared" ca="1" si="246"/>
        <v>265.28782534685206</v>
      </c>
      <c r="K521" s="307">
        <f t="shared" ca="1" si="247"/>
        <v>1707.1993300353047</v>
      </c>
      <c r="L521" s="304">
        <f t="shared" ca="1" si="232"/>
        <v>1727.6883928388984</v>
      </c>
      <c r="M521" s="306">
        <f t="shared" ca="1" si="248"/>
        <v>1.0431590824418464</v>
      </c>
      <c r="N521" s="304">
        <f t="shared" ca="1" si="249"/>
        <v>59.7686127846573</v>
      </c>
      <c r="P521" s="310">
        <f t="shared" ca="1" si="250"/>
        <v>23</v>
      </c>
      <c r="Q521" s="304">
        <f t="shared" ca="1" si="251"/>
        <v>0</v>
      </c>
      <c r="R521" s="306">
        <f t="shared" ca="1" si="252"/>
        <v>0</v>
      </c>
      <c r="S521" s="307">
        <f t="shared" ca="1" si="253"/>
        <v>6.8519999999999914</v>
      </c>
      <c r="T521" s="304">
        <f t="shared" ca="1" si="233"/>
        <v>67.218119999999914</v>
      </c>
      <c r="U521" s="311">
        <f t="shared" ca="1" si="234"/>
        <v>0</v>
      </c>
      <c r="V521" s="306">
        <f t="shared" ca="1" si="235"/>
        <v>1.0323156147417338</v>
      </c>
      <c r="W521" s="304">
        <f t="shared" ca="1" si="236"/>
        <v>2.1651617118730422</v>
      </c>
      <c r="Y521" s="314" t="str">
        <f t="shared" ca="1" si="254"/>
        <v/>
      </c>
      <c r="Z521" s="315" t="str">
        <f t="shared" ca="1" si="255"/>
        <v/>
      </c>
      <c r="AA521" s="316" t="str">
        <f t="shared" ca="1" si="256"/>
        <v/>
      </c>
      <c r="AC521" s="310" t="e">
        <f t="shared" ca="1" si="257"/>
        <v>#N/A</v>
      </c>
      <c r="AD521" s="323" t="e">
        <f t="shared" ca="1" si="258"/>
        <v>#N/A</v>
      </c>
      <c r="AE521" s="324">
        <f t="shared" ca="1" si="237"/>
        <v>1707.1993300353047</v>
      </c>
      <c r="AG521" s="306">
        <f t="shared" ca="1" si="259"/>
        <v>-8.8924428745820077</v>
      </c>
      <c r="AH521" s="304">
        <f t="shared" ca="1" si="260"/>
        <v>-0.33574099546915354</v>
      </c>
    </row>
    <row r="522" spans="1:34" x14ac:dyDescent="0.2">
      <c r="A522" s="347">
        <f t="shared" ca="1" si="238"/>
        <v>0.1</v>
      </c>
      <c r="B522" s="304">
        <f t="shared" ca="1" si="239"/>
        <v>15.799999999999917</v>
      </c>
      <c r="D522" s="306">
        <f t="shared" ca="1" si="240"/>
        <v>-0.15909872733579683</v>
      </c>
      <c r="E522" s="307">
        <f t="shared" ca="1" si="241"/>
        <v>-10.083014856703214</v>
      </c>
      <c r="F522" s="304">
        <f t="shared" ca="1" si="242"/>
        <v>10.084269978810443</v>
      </c>
      <c r="G522" s="306">
        <f t="shared" ca="1" si="243"/>
        <v>14.52777590709122</v>
      </c>
      <c r="H522" s="307">
        <f t="shared" ca="1" si="244"/>
        <v>23.948795001562498</v>
      </c>
      <c r="I522" s="304">
        <f t="shared" ca="1" si="245"/>
        <v>28.010731065674189</v>
      </c>
      <c r="J522" s="306">
        <f t="shared" ca="1" si="246"/>
        <v>266.74139843119787</v>
      </c>
      <c r="K522" s="307">
        <f t="shared" ca="1" si="247"/>
        <v>1709.6446246097444</v>
      </c>
      <c r="L522" s="304">
        <f t="shared" ca="1" si="232"/>
        <v>1730.3282105121052</v>
      </c>
      <c r="M522" s="306">
        <f t="shared" ca="1" si="248"/>
        <v>1.0255246781192811</v>
      </c>
      <c r="N522" s="304">
        <f t="shared" ca="1" si="249"/>
        <v>58.758235842747048</v>
      </c>
      <c r="P522" s="310">
        <f t="shared" ca="1" si="250"/>
        <v>23</v>
      </c>
      <c r="Q522" s="304">
        <f t="shared" ca="1" si="251"/>
        <v>0</v>
      </c>
      <c r="R522" s="306">
        <f t="shared" ca="1" si="252"/>
        <v>0</v>
      </c>
      <c r="S522" s="307">
        <f t="shared" ca="1" si="253"/>
        <v>6.8519999999999914</v>
      </c>
      <c r="T522" s="304">
        <f t="shared" ca="1" si="233"/>
        <v>67.218119999999914</v>
      </c>
      <c r="U522" s="311">
        <f t="shared" ca="1" si="234"/>
        <v>0</v>
      </c>
      <c r="V522" s="306">
        <f t="shared" ca="1" si="235"/>
        <v>1.03206135900789</v>
      </c>
      <c r="W522" s="304">
        <f t="shared" ca="1" si="236"/>
        <v>2.0354982097781695</v>
      </c>
      <c r="Y522" s="314" t="str">
        <f t="shared" ca="1" si="254"/>
        <v/>
      </c>
      <c r="Z522" s="315" t="str">
        <f t="shared" ca="1" si="255"/>
        <v/>
      </c>
      <c r="AA522" s="316" t="str">
        <f t="shared" ca="1" si="256"/>
        <v/>
      </c>
      <c r="AC522" s="310" t="e">
        <f t="shared" ca="1" si="257"/>
        <v>#N/A</v>
      </c>
      <c r="AD522" s="323" t="e">
        <f t="shared" ca="1" si="258"/>
        <v>#N/A</v>
      </c>
      <c r="AE522" s="324">
        <f t="shared" ca="1" si="237"/>
        <v>1709.6446246097444</v>
      </c>
      <c r="AG522" s="306">
        <f t="shared" ca="1" si="259"/>
        <v>-8.791821038538826</v>
      </c>
      <c r="AH522" s="304">
        <f t="shared" ca="1" si="260"/>
        <v>-0.31598974195461832</v>
      </c>
    </row>
    <row r="523" spans="1:34" x14ac:dyDescent="0.2">
      <c r="A523" s="347">
        <f t="shared" ca="1" si="238"/>
        <v>0.1</v>
      </c>
      <c r="B523" s="304">
        <f t="shared" ca="1" si="239"/>
        <v>15.899999999999917</v>
      </c>
      <c r="D523" s="306">
        <f t="shared" ca="1" si="240"/>
        <v>-0.15407353920289898</v>
      </c>
      <c r="E523" s="307">
        <f t="shared" ca="1" si="241"/>
        <v>-10.063987646087957</v>
      </c>
      <c r="F523" s="304">
        <f t="shared" ca="1" si="242"/>
        <v>10.065166963150364</v>
      </c>
      <c r="G523" s="306">
        <f t="shared" ca="1" si="243"/>
        <v>14.51236855317093</v>
      </c>
      <c r="H523" s="307">
        <f t="shared" ca="1" si="244"/>
        <v>22.942396236953702</v>
      </c>
      <c r="I523" s="304">
        <f t="shared" ca="1" si="245"/>
        <v>27.147051149553093</v>
      </c>
      <c r="J523" s="306">
        <f t="shared" ca="1" si="246"/>
        <v>268.19340565421095</v>
      </c>
      <c r="K523" s="307">
        <f t="shared" ca="1" si="247"/>
        <v>1711.9891841716701</v>
      </c>
      <c r="L523" s="304">
        <f t="shared" ca="1" si="232"/>
        <v>1732.8689129755846</v>
      </c>
      <c r="M523" s="306">
        <f t="shared" ca="1" si="248"/>
        <v>1.0067813605463352</v>
      </c>
      <c r="N523" s="304">
        <f t="shared" ca="1" si="249"/>
        <v>57.684322851743858</v>
      </c>
      <c r="P523" s="310">
        <f t="shared" ca="1" si="250"/>
        <v>23</v>
      </c>
      <c r="Q523" s="304">
        <f t="shared" ca="1" si="251"/>
        <v>0</v>
      </c>
      <c r="R523" s="306">
        <f t="shared" ca="1" si="252"/>
        <v>0</v>
      </c>
      <c r="S523" s="307">
        <f t="shared" ca="1" si="253"/>
        <v>6.8519999999999914</v>
      </c>
      <c r="T523" s="304">
        <f t="shared" ca="1" si="233"/>
        <v>67.218119999999914</v>
      </c>
      <c r="U523" s="311">
        <f t="shared" ca="1" si="234"/>
        <v>0</v>
      </c>
      <c r="V523" s="306">
        <f t="shared" ca="1" si="235"/>
        <v>1.0318176312339753</v>
      </c>
      <c r="W523" s="304">
        <f t="shared" ca="1" si="236"/>
        <v>1.9114572351538854</v>
      </c>
      <c r="Y523" s="314" t="str">
        <f t="shared" ca="1" si="254"/>
        <v/>
      </c>
      <c r="Z523" s="315" t="str">
        <f t="shared" ca="1" si="255"/>
        <v/>
      </c>
      <c r="AA523" s="316" t="str">
        <f t="shared" ca="1" si="256"/>
        <v/>
      </c>
      <c r="AC523" s="310" t="e">
        <f t="shared" ca="1" si="257"/>
        <v>#N/A</v>
      </c>
      <c r="AD523" s="323" t="e">
        <f t="shared" ca="1" si="258"/>
        <v>#N/A</v>
      </c>
      <c r="AE523" s="324">
        <f t="shared" ca="1" si="237"/>
        <v>1711.9891841716701</v>
      </c>
      <c r="AG523" s="306">
        <f t="shared" ca="1" si="259"/>
        <v>-8.6844831830637972</v>
      </c>
      <c r="AH523" s="304">
        <f t="shared" ca="1" si="260"/>
        <v>-0.29706628864246526</v>
      </c>
    </row>
    <row r="524" spans="1:34" x14ac:dyDescent="0.2">
      <c r="A524" s="347">
        <f t="shared" ca="1" si="238"/>
        <v>0.1</v>
      </c>
      <c r="B524" s="304">
        <f t="shared" ca="1" si="239"/>
        <v>15.999999999999917</v>
      </c>
      <c r="D524" s="306">
        <f t="shared" ca="1" si="240"/>
        <v>-0.14912926233556587</v>
      </c>
      <c r="E524" s="307">
        <f t="shared" ca="1" si="241"/>
        <v>-10.04575632154681</v>
      </c>
      <c r="F524" s="304">
        <f t="shared" ca="1" si="242"/>
        <v>10.046863172591854</v>
      </c>
      <c r="G524" s="306">
        <f t="shared" ca="1" si="243"/>
        <v>14.497455626937374</v>
      </c>
      <c r="H524" s="307">
        <f t="shared" ca="1" si="244"/>
        <v>21.937820604799022</v>
      </c>
      <c r="I524" s="304">
        <f t="shared" ca="1" si="245"/>
        <v>26.295326439186159</v>
      </c>
      <c r="J524" s="306">
        <f t="shared" ca="1" si="246"/>
        <v>269.64389686321636</v>
      </c>
      <c r="K524" s="307">
        <f t="shared" ca="1" si="247"/>
        <v>1714.2331950137577</v>
      </c>
      <c r="L524" s="304">
        <f t="shared" ca="1" si="232"/>
        <v>1735.3107151178019</v>
      </c>
      <c r="M524" s="306">
        <f t="shared" ca="1" si="248"/>
        <v>0.98683632231826812</v>
      </c>
      <c r="N524" s="304">
        <f t="shared" ca="1" si="249"/>
        <v>56.541556339048533</v>
      </c>
      <c r="P524" s="310">
        <f t="shared" ca="1" si="250"/>
        <v>23</v>
      </c>
      <c r="Q524" s="304">
        <f t="shared" ca="1" si="251"/>
        <v>0</v>
      </c>
      <c r="R524" s="306">
        <f t="shared" ca="1" si="252"/>
        <v>0</v>
      </c>
      <c r="S524" s="307">
        <f t="shared" ca="1" si="253"/>
        <v>6.8519999999999914</v>
      </c>
      <c r="T524" s="304">
        <f t="shared" ca="1" si="233"/>
        <v>67.218119999999914</v>
      </c>
      <c r="U524" s="311">
        <f t="shared" ca="1" si="234"/>
        <v>0</v>
      </c>
      <c r="V524" s="306">
        <f t="shared" ca="1" si="235"/>
        <v>1.0315844052578322</v>
      </c>
      <c r="W524" s="304">
        <f t="shared" ca="1" si="236"/>
        <v>1.7929914576931782</v>
      </c>
      <c r="Y524" s="314" t="str">
        <f t="shared" ca="1" si="254"/>
        <v/>
      </c>
      <c r="Z524" s="315" t="str">
        <f t="shared" ca="1" si="255"/>
        <v/>
      </c>
      <c r="AA524" s="316" t="str">
        <f t="shared" ca="1" si="256"/>
        <v/>
      </c>
      <c r="AC524" s="310">
        <f t="shared" ca="1" si="257"/>
        <v>15.999999999999917</v>
      </c>
      <c r="AD524" s="323">
        <f t="shared" ca="1" si="258"/>
        <v>269.64389686321636</v>
      </c>
      <c r="AE524" s="324">
        <f t="shared" ca="1" si="237"/>
        <v>1714.2331950137577</v>
      </c>
      <c r="AG524" s="306">
        <f t="shared" ca="1" si="259"/>
        <v>-8.5695473723566984</v>
      </c>
      <c r="AH524" s="304">
        <f t="shared" ca="1" si="260"/>
        <v>-0.27896340267861758</v>
      </c>
    </row>
    <row r="525" spans="1:34" x14ac:dyDescent="0.2">
      <c r="A525" s="347">
        <f t="shared" ca="1" si="238"/>
        <v>0.1</v>
      </c>
      <c r="B525" s="304">
        <f t="shared" ca="1" si="239"/>
        <v>16.099999999999916</v>
      </c>
      <c r="D525" s="306">
        <f t="shared" ca="1" si="240"/>
        <v>-0.14426935417457398</v>
      </c>
      <c r="E525" s="307">
        <f t="shared" ca="1" si="241"/>
        <v>-10.028311081067997</v>
      </c>
      <c r="F525" s="304">
        <f t="shared" ca="1" si="242"/>
        <v>10.029348771741121</v>
      </c>
      <c r="G525" s="306">
        <f t="shared" ca="1" si="243"/>
        <v>14.483028691519916</v>
      </c>
      <c r="H525" s="307">
        <f t="shared" ca="1" si="244"/>
        <v>20.934989496692221</v>
      </c>
      <c r="I525" s="304">
        <f t="shared" ca="1" si="245"/>
        <v>25.456470794397301</v>
      </c>
      <c r="J525" s="306">
        <f t="shared" ca="1" si="246"/>
        <v>271.09292107913922</v>
      </c>
      <c r="K525" s="307">
        <f t="shared" ca="1" si="247"/>
        <v>1716.3768355188322</v>
      </c>
      <c r="L525" s="304">
        <f t="shared" ca="1" si="232"/>
        <v>1737.6538243749417</v>
      </c>
      <c r="M525" s="306">
        <f t="shared" ca="1" si="248"/>
        <v>0.96558838806179248</v>
      </c>
      <c r="N525" s="304">
        <f t="shared" ca="1" si="249"/>
        <v>55.324139382781034</v>
      </c>
      <c r="P525" s="310">
        <f t="shared" ca="1" si="250"/>
        <v>23</v>
      </c>
      <c r="Q525" s="304">
        <f t="shared" ca="1" si="251"/>
        <v>0</v>
      </c>
      <c r="R525" s="306">
        <f t="shared" ca="1" si="252"/>
        <v>0</v>
      </c>
      <c r="S525" s="307">
        <f t="shared" ca="1" si="253"/>
        <v>6.8519999999999914</v>
      </c>
      <c r="T525" s="304">
        <f t="shared" ca="1" si="233"/>
        <v>67.218119999999914</v>
      </c>
      <c r="U525" s="311">
        <f t="shared" ca="1" si="234"/>
        <v>0</v>
      </c>
      <c r="V525" s="306">
        <f t="shared" ca="1" si="235"/>
        <v>1.031361656050132</v>
      </c>
      <c r="W525" s="304">
        <f t="shared" ca="1" si="236"/>
        <v>1.6800557319285632</v>
      </c>
      <c r="Y525" s="314" t="str">
        <f t="shared" ca="1" si="254"/>
        <v/>
      </c>
      <c r="Z525" s="315" t="str">
        <f t="shared" ca="1" si="255"/>
        <v/>
      </c>
      <c r="AA525" s="316" t="str">
        <f t="shared" ca="1" si="256"/>
        <v/>
      </c>
      <c r="AC525" s="310" t="e">
        <f t="shared" ca="1" si="257"/>
        <v>#N/A</v>
      </c>
      <c r="AD525" s="323" t="e">
        <f t="shared" ca="1" si="258"/>
        <v>#N/A</v>
      </c>
      <c r="AE525" s="324">
        <f t="shared" ca="1" si="237"/>
        <v>1716.3768355188322</v>
      </c>
      <c r="AG525" s="306">
        <f t="shared" ca="1" si="259"/>
        <v>-8.4460190497994194</v>
      </c>
      <c r="AH525" s="304">
        <f t="shared" ca="1" si="260"/>
        <v>-0.26167417654599834</v>
      </c>
    </row>
    <row r="526" spans="1:34" x14ac:dyDescent="0.2">
      <c r="A526" s="347">
        <f t="shared" ca="1" si="238"/>
        <v>0.1</v>
      </c>
      <c r="B526" s="304">
        <f t="shared" ca="1" si="239"/>
        <v>16.199999999999918</v>
      </c>
      <c r="D526" s="306">
        <f t="shared" ca="1" si="240"/>
        <v>-0.13949785546818141</v>
      </c>
      <c r="E526" s="307">
        <f t="shared" ca="1" si="241"/>
        <v>-10.011641949431986</v>
      </c>
      <c r="F526" s="304">
        <f t="shared" ca="1" si="242"/>
        <v>10.012613753426551</v>
      </c>
      <c r="G526" s="306">
        <f t="shared" ca="1" si="243"/>
        <v>14.469078905973097</v>
      </c>
      <c r="H526" s="307">
        <f t="shared" ca="1" si="244"/>
        <v>19.933825301749025</v>
      </c>
      <c r="I526" s="304">
        <f t="shared" ca="1" si="245"/>
        <v>24.631517118276033</v>
      </c>
      <c r="J526" s="306">
        <f t="shared" ca="1" si="246"/>
        <v>272.54052645901385</v>
      </c>
      <c r="K526" s="307">
        <f t="shared" ca="1" si="247"/>
        <v>1718.4202762587543</v>
      </c>
      <c r="L526" s="304">
        <f t="shared" ca="1" si="232"/>
        <v>1739.8984408349154</v>
      </c>
      <c r="M526" s="306">
        <f t="shared" ca="1" si="248"/>
        <v>0.9429275372186865</v>
      </c>
      <c r="N526" s="304">
        <f t="shared" ca="1" si="249"/>
        <v>54.02576826929559</v>
      </c>
      <c r="P526" s="310">
        <f t="shared" ca="1" si="250"/>
        <v>23</v>
      </c>
      <c r="Q526" s="304">
        <f t="shared" ca="1" si="251"/>
        <v>0</v>
      </c>
      <c r="R526" s="306">
        <f t="shared" ca="1" si="252"/>
        <v>0</v>
      </c>
      <c r="S526" s="307">
        <f t="shared" ca="1" si="253"/>
        <v>6.8519999999999914</v>
      </c>
      <c r="T526" s="304">
        <f t="shared" ca="1" si="233"/>
        <v>67.218119999999914</v>
      </c>
      <c r="U526" s="311">
        <f t="shared" ca="1" si="234"/>
        <v>0</v>
      </c>
      <c r="V526" s="306">
        <f t="shared" ca="1" si="235"/>
        <v>1.0311493597010735</v>
      </c>
      <c r="W526" s="304">
        <f t="shared" ca="1" si="236"/>
        <v>1.5726070538985415</v>
      </c>
      <c r="Y526" s="314" t="str">
        <f t="shared" ca="1" si="254"/>
        <v/>
      </c>
      <c r="Z526" s="315" t="str">
        <f t="shared" ca="1" si="255"/>
        <v/>
      </c>
      <c r="AA526" s="316" t="str">
        <f t="shared" ca="1" si="256"/>
        <v/>
      </c>
      <c r="AC526" s="310" t="e">
        <f t="shared" ca="1" si="257"/>
        <v>#N/A</v>
      </c>
      <c r="AD526" s="323" t="e">
        <f t="shared" ca="1" si="258"/>
        <v>#N/A</v>
      </c>
      <c r="AE526" s="324">
        <f t="shared" ca="1" si="237"/>
        <v>1718.4202762587543</v>
      </c>
      <c r="AG526" s="306">
        <f t="shared" ca="1" si="259"/>
        <v>-8.3127772191315312</v>
      </c>
      <c r="AH526" s="304">
        <f t="shared" ca="1" si="260"/>
        <v>-0.24519202158910761</v>
      </c>
    </row>
    <row r="527" spans="1:34" x14ac:dyDescent="0.2">
      <c r="A527" s="347">
        <f t="shared" ca="1" si="238"/>
        <v>0.1</v>
      </c>
      <c r="B527" s="304">
        <f t="shared" ca="1" si="239"/>
        <v>16.299999999999919</v>
      </c>
      <c r="D527" s="306">
        <f t="shared" ca="1" si="240"/>
        <v>-0.13481946149747798</v>
      </c>
      <c r="E527" s="307">
        <f t="shared" ca="1" si="241"/>
        <v>-9.9957386783382027</v>
      </c>
      <c r="F527" s="304">
        <f t="shared" ca="1" si="242"/>
        <v>9.9966478387920041</v>
      </c>
      <c r="G527" s="306">
        <f t="shared" ca="1" si="243"/>
        <v>14.45559695982335</v>
      </c>
      <c r="H527" s="307">
        <f t="shared" ca="1" si="244"/>
        <v>18.934251433915204</v>
      </c>
      <c r="I527" s="304">
        <f t="shared" ca="1" si="245"/>
        <v>23.821632203263782</v>
      </c>
      <c r="J527" s="306">
        <f t="shared" ca="1" si="246"/>
        <v>273.98676025230367</v>
      </c>
      <c r="K527" s="307">
        <f t="shared" ca="1" si="247"/>
        <v>1720.3636800955376</v>
      </c>
      <c r="L527" s="304">
        <f t="shared" ca="1" si="232"/>
        <v>1742.0447573427655</v>
      </c>
      <c r="M527" s="306">
        <f t="shared" ca="1" si="248"/>
        <v>0.91873454522362641</v>
      </c>
      <c r="N527" s="304">
        <f t="shared" ca="1" si="249"/>
        <v>52.639611934184856</v>
      </c>
      <c r="P527" s="310">
        <f t="shared" ca="1" si="250"/>
        <v>23</v>
      </c>
      <c r="Q527" s="304">
        <f t="shared" ca="1" si="251"/>
        <v>0</v>
      </c>
      <c r="R527" s="306">
        <f t="shared" ca="1" si="252"/>
        <v>0</v>
      </c>
      <c r="S527" s="307">
        <f t="shared" ca="1" si="253"/>
        <v>6.8519999999999914</v>
      </c>
      <c r="T527" s="304">
        <f t="shared" ca="1" si="233"/>
        <v>67.218119999999914</v>
      </c>
      <c r="U527" s="311">
        <f t="shared" ca="1" si="234"/>
        <v>0</v>
      </c>
      <c r="V527" s="306">
        <f t="shared" ca="1" si="235"/>
        <v>1.0309474934070013</v>
      </c>
      <c r="W527" s="304">
        <f t="shared" ca="1" si="236"/>
        <v>1.4706045186175127</v>
      </c>
      <c r="Y527" s="314" t="str">
        <f t="shared" ca="1" si="254"/>
        <v/>
      </c>
      <c r="Z527" s="315" t="str">
        <f t="shared" ca="1" si="255"/>
        <v/>
      </c>
      <c r="AA527" s="316" t="str">
        <f t="shared" ca="1" si="256"/>
        <v/>
      </c>
      <c r="AC527" s="310" t="e">
        <f t="shared" ca="1" si="257"/>
        <v>#N/A</v>
      </c>
      <c r="AD527" s="323" t="e">
        <f t="shared" ca="1" si="258"/>
        <v>#N/A</v>
      </c>
      <c r="AE527" s="324">
        <f t="shared" ca="1" si="237"/>
        <v>1720.3636800955376</v>
      </c>
      <c r="AG527" s="306">
        <f t="shared" ca="1" si="259"/>
        <v>-8.1685598591533086</v>
      </c>
      <c r="AH527" s="304">
        <f t="shared" ca="1" si="260"/>
        <v>-0.22951066168980494</v>
      </c>
    </row>
    <row r="528" spans="1:34" x14ac:dyDescent="0.2">
      <c r="A528" s="347">
        <f t="shared" ca="1" si="238"/>
        <v>0.1</v>
      </c>
      <c r="B528" s="304">
        <f t="shared" ca="1" si="239"/>
        <v>16.39999999999992</v>
      </c>
      <c r="D528" s="306">
        <f t="shared" ca="1" si="240"/>
        <v>-0.1302396012231796</v>
      </c>
      <c r="E528" s="307">
        <f t="shared" ca="1" si="241"/>
        <v>-9.9805906274964844</v>
      </c>
      <c r="F528" s="304">
        <f t="shared" ca="1" si="242"/>
        <v>9.9814403583549716</v>
      </c>
      <c r="G528" s="306">
        <f t="shared" ca="1" si="243"/>
        <v>14.442572999701031</v>
      </c>
      <c r="H528" s="307">
        <f t="shared" ca="1" si="244"/>
        <v>17.936192371165557</v>
      </c>
      <c r="I528" s="304">
        <f t="shared" ca="1" si="245"/>
        <v>23.028133046930893</v>
      </c>
      <c r="J528" s="306">
        <f t="shared" ca="1" si="246"/>
        <v>275.43166875027987</v>
      </c>
      <c r="K528" s="307">
        <f t="shared" ca="1" si="247"/>
        <v>1722.2072022857917</v>
      </c>
      <c r="L528" s="304">
        <f t="shared" ca="1" si="232"/>
        <v>1744.0929596084086</v>
      </c>
      <c r="M528" s="306">
        <f t="shared" ca="1" si="248"/>
        <v>0.89288081718629131</v>
      </c>
      <c r="N528" s="304">
        <f t="shared" ca="1" si="249"/>
        <v>51.158302432966515</v>
      </c>
      <c r="P528" s="310">
        <f t="shared" ca="1" si="250"/>
        <v>23</v>
      </c>
      <c r="Q528" s="304">
        <f t="shared" ca="1" si="251"/>
        <v>0</v>
      </c>
      <c r="R528" s="306">
        <f t="shared" ca="1" si="252"/>
        <v>0</v>
      </c>
      <c r="S528" s="307">
        <f t="shared" ca="1" si="253"/>
        <v>6.8519999999999914</v>
      </c>
      <c r="T528" s="304">
        <f t="shared" ca="1" si="233"/>
        <v>67.218119999999914</v>
      </c>
      <c r="U528" s="311">
        <f t="shared" ca="1" si="234"/>
        <v>0</v>
      </c>
      <c r="V528" s="306">
        <f t="shared" ca="1" si="235"/>
        <v>1.0307560354568304</v>
      </c>
      <c r="W528" s="304">
        <f t="shared" ca="1" si="236"/>
        <v>1.3740092780828876</v>
      </c>
      <c r="Y528" s="314" t="str">
        <f t="shared" ca="1" si="254"/>
        <v/>
      </c>
      <c r="Z528" s="315" t="str">
        <f t="shared" ca="1" si="255"/>
        <v/>
      </c>
      <c r="AA528" s="316" t="str">
        <f t="shared" ca="1" si="256"/>
        <v/>
      </c>
      <c r="AC528" s="310" t="e">
        <f t="shared" ca="1" si="257"/>
        <v>#N/A</v>
      </c>
      <c r="AD528" s="323" t="e">
        <f t="shared" ca="1" si="258"/>
        <v>#N/A</v>
      </c>
      <c r="AE528" s="324">
        <f t="shared" ca="1" si="237"/>
        <v>1722.2072022857917</v>
      </c>
      <c r="AG528" s="306">
        <f t="shared" ca="1" si="259"/>
        <v>-8.011949053488328</v>
      </c>
      <c r="AH528" s="304">
        <f t="shared" ca="1" si="260"/>
        <v>-0.21462412706034947</v>
      </c>
    </row>
    <row r="529" spans="1:34" x14ac:dyDescent="0.2">
      <c r="A529" s="347">
        <f t="shared" ca="1" si="238"/>
        <v>0.1</v>
      </c>
      <c r="B529" s="304">
        <f t="shared" ca="1" si="239"/>
        <v>16.499999999999922</v>
      </c>
      <c r="D529" s="306">
        <f t="shared" ca="1" si="240"/>
        <v>-0.12576452429465335</v>
      </c>
      <c r="E529" s="307">
        <f t="shared" ca="1" si="241"/>
        <v>-9.9661866227897011</v>
      </c>
      <c r="F529" s="304">
        <f t="shared" ca="1" si="242"/>
        <v>9.9669801101358413</v>
      </c>
      <c r="G529" s="306">
        <f t="shared" ca="1" si="243"/>
        <v>14.429996547271566</v>
      </c>
      <c r="H529" s="307">
        <f t="shared" ca="1" si="244"/>
        <v>16.939573708886588</v>
      </c>
      <c r="I529" s="304">
        <f t="shared" ca="1" si="245"/>
        <v>22.252504528548489</v>
      </c>
      <c r="J529" s="306">
        <f t="shared" ca="1" si="246"/>
        <v>276.87529722762849</v>
      </c>
      <c r="K529" s="307">
        <f t="shared" ca="1" si="247"/>
        <v>1723.9509905897944</v>
      </c>
      <c r="L529" s="304">
        <f t="shared" ca="1" si="232"/>
        <v>1746.0432263178425</v>
      </c>
      <c r="M529" s="306">
        <f t="shared" ca="1" si="248"/>
        <v>0.8652285146782438</v>
      </c>
      <c r="N529" s="304">
        <f t="shared" ca="1" si="249"/>
        <v>49.573942205436367</v>
      </c>
      <c r="P529" s="310">
        <f t="shared" ca="1" si="250"/>
        <v>23</v>
      </c>
      <c r="Q529" s="304">
        <f t="shared" ca="1" si="251"/>
        <v>0</v>
      </c>
      <c r="R529" s="306">
        <f t="shared" ca="1" si="252"/>
        <v>0</v>
      </c>
      <c r="S529" s="307">
        <f t="shared" ca="1" si="253"/>
        <v>6.8519999999999914</v>
      </c>
      <c r="T529" s="304">
        <f t="shared" ca="1" si="233"/>
        <v>67.218119999999914</v>
      </c>
      <c r="U529" s="311">
        <f t="shared" ca="1" si="234"/>
        <v>0</v>
      </c>
      <c r="V529" s="306">
        <f t="shared" ca="1" si="235"/>
        <v>1.0305749652181331</v>
      </c>
      <c r="W529" s="304">
        <f t="shared" ca="1" si="236"/>
        <v>1.2827844995118276</v>
      </c>
      <c r="Y529" s="314" t="str">
        <f t="shared" ca="1" si="254"/>
        <v/>
      </c>
      <c r="Z529" s="315" t="str">
        <f t="shared" ca="1" si="255"/>
        <v/>
      </c>
      <c r="AA529" s="316" t="str">
        <f t="shared" ca="1" si="256"/>
        <v/>
      </c>
      <c r="AC529" s="310" t="e">
        <f t="shared" ca="1" si="257"/>
        <v>#N/A</v>
      </c>
      <c r="AD529" s="323" t="e">
        <f t="shared" ca="1" si="258"/>
        <v>#N/A</v>
      </c>
      <c r="AE529" s="324">
        <f t="shared" ca="1" si="237"/>
        <v>1723.9509905897944</v>
      </c>
      <c r="AG529" s="306">
        <f t="shared" ca="1" si="259"/>
        <v>-7.8413566322632056</v>
      </c>
      <c r="AH529" s="304">
        <f t="shared" ca="1" si="260"/>
        <v>-0.20052674811484084</v>
      </c>
    </row>
    <row r="530" spans="1:34" x14ac:dyDescent="0.2">
      <c r="A530" s="347">
        <f t="shared" ca="1" si="238"/>
        <v>0.1</v>
      </c>
      <c r="B530" s="304">
        <f t="shared" ca="1" si="239"/>
        <v>16.599999999999923</v>
      </c>
      <c r="D530" s="306">
        <f t="shared" ca="1" si="240"/>
        <v>-0.12140139531742672</v>
      </c>
      <c r="E530" s="307">
        <f t="shared" ca="1" si="241"/>
        <v>-9.9525147869997301</v>
      </c>
      <c r="F530" s="304">
        <f t="shared" ca="1" si="242"/>
        <v>9.9532551903502053</v>
      </c>
      <c r="G530" s="306">
        <f t="shared" ca="1" si="243"/>
        <v>14.417856407739823</v>
      </c>
      <c r="H530" s="307">
        <f t="shared" ca="1" si="244"/>
        <v>15.944322230186614</v>
      </c>
      <c r="I530" s="304">
        <f t="shared" ca="1" si="245"/>
        <v>21.496418184763417</v>
      </c>
      <c r="J530" s="306">
        <f t="shared" ca="1" si="246"/>
        <v>278.31768987537907</v>
      </c>
      <c r="K530" s="307">
        <f t="shared" ca="1" si="247"/>
        <v>1725.595185386748</v>
      </c>
      <c r="L530" s="304">
        <f t="shared" ca="1" si="232"/>
        <v>1747.8957292491714</v>
      </c>
      <c r="M530" s="306">
        <f t="shared" ca="1" si="248"/>
        <v>0.83563110910742844</v>
      </c>
      <c r="N530" s="304">
        <f t="shared" ca="1" si="249"/>
        <v>47.878135781691661</v>
      </c>
      <c r="P530" s="310">
        <f t="shared" ca="1" si="250"/>
        <v>23</v>
      </c>
      <c r="Q530" s="304">
        <f t="shared" ca="1" si="251"/>
        <v>0</v>
      </c>
      <c r="R530" s="306">
        <f t="shared" ca="1" si="252"/>
        <v>0</v>
      </c>
      <c r="S530" s="307">
        <f t="shared" ca="1" si="253"/>
        <v>6.8519999999999914</v>
      </c>
      <c r="T530" s="304">
        <f t="shared" ca="1" si="233"/>
        <v>67.218119999999914</v>
      </c>
      <c r="U530" s="311">
        <f t="shared" ca="1" si="234"/>
        <v>0</v>
      </c>
      <c r="V530" s="306">
        <f t="shared" ca="1" si="235"/>
        <v>1.0304042631227333</v>
      </c>
      <c r="W530" s="304">
        <f t="shared" ca="1" si="236"/>
        <v>1.1968953234499613</v>
      </c>
      <c r="Y530" s="314" t="str">
        <f t="shared" ca="1" si="254"/>
        <v/>
      </c>
      <c r="Z530" s="315" t="str">
        <f t="shared" ca="1" si="255"/>
        <v/>
      </c>
      <c r="AA530" s="316" t="str">
        <f t="shared" ca="1" si="256"/>
        <v/>
      </c>
      <c r="AC530" s="310" t="e">
        <f t="shared" ca="1" si="257"/>
        <v>#N/A</v>
      </c>
      <c r="AD530" s="323" t="e">
        <f t="shared" ca="1" si="258"/>
        <v>#N/A</v>
      </c>
      <c r="AE530" s="324">
        <f t="shared" ca="1" si="237"/>
        <v>1725.595185386748</v>
      </c>
      <c r="AG530" s="306">
        <f t="shared" ca="1" si="259"/>
        <v>-7.6550115659965829</v>
      </c>
      <c r="AH530" s="304">
        <f t="shared" ca="1" si="260"/>
        <v>-0.18721314937417238</v>
      </c>
    </row>
    <row r="531" spans="1:34" x14ac:dyDescent="0.2">
      <c r="A531" s="347">
        <f t="shared" ca="1" si="238"/>
        <v>0.1</v>
      </c>
      <c r="B531" s="304">
        <f t="shared" ca="1" si="239"/>
        <v>16.699999999999925</v>
      </c>
      <c r="D531" s="306">
        <f t="shared" ca="1" si="240"/>
        <v>-0.11715839395024401</v>
      </c>
      <c r="E531" s="307">
        <f t="shared" ca="1" si="241"/>
        <v>-9.9395623379985292</v>
      </c>
      <c r="F531" s="304">
        <f t="shared" ca="1" si="242"/>
        <v>9.9402527915658059</v>
      </c>
      <c r="G531" s="306">
        <f t="shared" ca="1" si="243"/>
        <v>14.406140568344798</v>
      </c>
      <c r="H531" s="307">
        <f t="shared" ca="1" si="244"/>
        <v>14.950365996386761</v>
      </c>
      <c r="I531" s="304">
        <f t="shared" ca="1" si="245"/>
        <v>20.761751600017455</v>
      </c>
      <c r="J531" s="306">
        <f t="shared" ca="1" si="246"/>
        <v>279.75888972418329</v>
      </c>
      <c r="K531" s="307">
        <f t="shared" ca="1" si="247"/>
        <v>1727.1399197980766</v>
      </c>
      <c r="L531" s="304">
        <f t="shared" ca="1" si="232"/>
        <v>1749.6506333950827</v>
      </c>
      <c r="M531" s="306">
        <f t="shared" ca="1" si="248"/>
        <v>0.80393453433782092</v>
      </c>
      <c r="N531" s="304">
        <f t="shared" ca="1" si="249"/>
        <v>46.062055822372294</v>
      </c>
      <c r="P531" s="310">
        <f t="shared" ca="1" si="250"/>
        <v>23</v>
      </c>
      <c r="Q531" s="304">
        <f t="shared" ca="1" si="251"/>
        <v>0</v>
      </c>
      <c r="R531" s="306">
        <f t="shared" ca="1" si="252"/>
        <v>0</v>
      </c>
      <c r="S531" s="307">
        <f t="shared" ca="1" si="253"/>
        <v>6.8519999999999914</v>
      </c>
      <c r="T531" s="304">
        <f t="shared" ca="1" si="233"/>
        <v>67.218119999999914</v>
      </c>
      <c r="U531" s="311">
        <f t="shared" ca="1" si="234"/>
        <v>0</v>
      </c>
      <c r="V531" s="306">
        <f t="shared" ca="1" si="235"/>
        <v>1.0302439106516046</v>
      </c>
      <c r="W531" s="304">
        <f t="shared" ca="1" si="236"/>
        <v>1.1163088213342962</v>
      </c>
      <c r="Y531" s="314" t="str">
        <f t="shared" ca="1" si="254"/>
        <v/>
      </c>
      <c r="Z531" s="315" t="str">
        <f t="shared" ca="1" si="255"/>
        <v/>
      </c>
      <c r="AA531" s="316" t="str">
        <f t="shared" ca="1" si="256"/>
        <v/>
      </c>
      <c r="AC531" s="310" t="e">
        <f t="shared" ca="1" si="257"/>
        <v>#N/A</v>
      </c>
      <c r="AD531" s="323" t="e">
        <f t="shared" ca="1" si="258"/>
        <v>#N/A</v>
      </c>
      <c r="AE531" s="324">
        <f t="shared" ca="1" si="237"/>
        <v>1727.1399197980766</v>
      </c>
      <c r="AG531" s="306">
        <f t="shared" ca="1" si="259"/>
        <v>-7.4509509569616874</v>
      </c>
      <c r="AH531" s="304">
        <f t="shared" ca="1" si="260"/>
        <v>-0.17467824335230048</v>
      </c>
    </row>
    <row r="532" spans="1:34" x14ac:dyDescent="0.2">
      <c r="A532" s="347">
        <f t="shared" ca="1" si="238"/>
        <v>0.1</v>
      </c>
      <c r="B532" s="304">
        <f t="shared" ca="1" si="239"/>
        <v>16.799999999999926</v>
      </c>
      <c r="D532" s="306">
        <f t="shared" ca="1" si="240"/>
        <v>-0.11304481820184747</v>
      </c>
      <c r="E532" s="307">
        <f t="shared" ca="1" si="241"/>
        <v>-9.9273153488330017</v>
      </c>
      <c r="F532" s="304">
        <f t="shared" ca="1" si="242"/>
        <v>9.9279589627524949</v>
      </c>
      <c r="G532" s="306">
        <f t="shared" ca="1" si="243"/>
        <v>14.394836086524613</v>
      </c>
      <c r="H532" s="307">
        <f t="shared" ca="1" si="244"/>
        <v>13.957634461503462</v>
      </c>
      <c r="I532" s="304">
        <f t="shared" ca="1" si="245"/>
        <v>20.050607614704855</v>
      </c>
      <c r="J532" s="306">
        <f t="shared" ca="1" si="246"/>
        <v>281.19893855692675</v>
      </c>
      <c r="K532" s="307">
        <f t="shared" ca="1" si="247"/>
        <v>1728.5853198209711</v>
      </c>
      <c r="L532" s="304">
        <f t="shared" ca="1" si="232"/>
        <v>1751.3080970937442</v>
      </c>
      <c r="M532" s="306">
        <f t="shared" ca="1" si="248"/>
        <v>0.76997915516278459</v>
      </c>
      <c r="N532" s="304">
        <f t="shared" ca="1" si="249"/>
        <v>44.116555903876311</v>
      </c>
      <c r="P532" s="310">
        <f t="shared" ca="1" si="250"/>
        <v>23</v>
      </c>
      <c r="Q532" s="304">
        <f t="shared" ca="1" si="251"/>
        <v>0</v>
      </c>
      <c r="R532" s="306">
        <f t="shared" ca="1" si="252"/>
        <v>0</v>
      </c>
      <c r="S532" s="307">
        <f t="shared" ca="1" si="253"/>
        <v>6.8519999999999914</v>
      </c>
      <c r="T532" s="304">
        <f t="shared" ca="1" si="233"/>
        <v>67.218119999999914</v>
      </c>
      <c r="U532" s="311">
        <f t="shared" ca="1" si="234"/>
        <v>0</v>
      </c>
      <c r="V532" s="306">
        <f t="shared" ca="1" si="235"/>
        <v>1.0300938903188444</v>
      </c>
      <c r="W532" s="304">
        <f t="shared" ca="1" si="236"/>
        <v>1.0409939520212765</v>
      </c>
      <c r="Y532" s="314" t="str">
        <f t="shared" ca="1" si="254"/>
        <v/>
      </c>
      <c r="Z532" s="315" t="str">
        <f t="shared" ca="1" si="255"/>
        <v/>
      </c>
      <c r="AA532" s="316" t="str">
        <f t="shared" ca="1" si="256"/>
        <v/>
      </c>
      <c r="AC532" s="310" t="e">
        <f t="shared" ca="1" si="257"/>
        <v>#N/A</v>
      </c>
      <c r="AD532" s="323" t="e">
        <f t="shared" ca="1" si="258"/>
        <v>#N/A</v>
      </c>
      <c r="AE532" s="324">
        <f t="shared" ca="1" si="237"/>
        <v>1728.5853198209711</v>
      </c>
      <c r="AG532" s="306">
        <f t="shared" ca="1" si="259"/>
        <v>-7.2270172699693571</v>
      </c>
      <c r="AH532" s="304">
        <f t="shared" ca="1" si="260"/>
        <v>-0.16291722436285722</v>
      </c>
    </row>
    <row r="533" spans="1:34" x14ac:dyDescent="0.2">
      <c r="A533" s="347">
        <f t="shared" ca="1" si="238"/>
        <v>0.1</v>
      </c>
      <c r="B533" s="304">
        <f t="shared" ca="1" si="239"/>
        <v>16.899999999999928</v>
      </c>
      <c r="D533" s="306">
        <f t="shared" ca="1" si="240"/>
        <v>-0.10907118661354308</v>
      </c>
      <c r="E533" s="307">
        <f t="shared" ca="1" si="241"/>
        <v>-9.9157584639299508</v>
      </c>
      <c r="F533" s="304">
        <f t="shared" ca="1" si="242"/>
        <v>9.9163583254513217</v>
      </c>
      <c r="G533" s="306">
        <f t="shared" ca="1" si="243"/>
        <v>14.383928967863259</v>
      </c>
      <c r="H533" s="307">
        <f t="shared" ca="1" si="244"/>
        <v>12.966058615110466</v>
      </c>
      <c r="I533" s="304">
        <f t="shared" ca="1" si="245"/>
        <v>19.365332131492508</v>
      </c>
      <c r="J533" s="306">
        <f t="shared" ca="1" si="246"/>
        <v>282.63787680964612</v>
      </c>
      <c r="K533" s="307">
        <f t="shared" ca="1" si="247"/>
        <v>1729.9315044748018</v>
      </c>
      <c r="L533" s="304">
        <f t="shared" ca="1" si="232"/>
        <v>1752.8682721704777</v>
      </c>
      <c r="M533" s="306">
        <f t="shared" ca="1" si="248"/>
        <v>0.73360281295614549</v>
      </c>
      <c r="N533" s="304">
        <f t="shared" ca="1" si="249"/>
        <v>42.032345021312281</v>
      </c>
      <c r="P533" s="310">
        <f t="shared" ca="1" si="250"/>
        <v>23</v>
      </c>
      <c r="Q533" s="304">
        <f t="shared" ca="1" si="251"/>
        <v>0</v>
      </c>
      <c r="R533" s="306">
        <f t="shared" ca="1" si="252"/>
        <v>0</v>
      </c>
      <c r="S533" s="307">
        <f t="shared" ca="1" si="253"/>
        <v>6.8519999999999914</v>
      </c>
      <c r="T533" s="304">
        <f t="shared" ca="1" si="233"/>
        <v>67.218119999999914</v>
      </c>
      <c r="U533" s="311">
        <f t="shared" ca="1" si="234"/>
        <v>0</v>
      </c>
      <c r="V533" s="306">
        <f t="shared" ca="1" si="235"/>
        <v>1.0299541856544523</v>
      </c>
      <c r="W533" s="304">
        <f t="shared" ca="1" si="236"/>
        <v>0.9709215167079307</v>
      </c>
      <c r="Y533" s="314" t="str">
        <f t="shared" ca="1" si="254"/>
        <v/>
      </c>
      <c r="Z533" s="315" t="str">
        <f t="shared" ca="1" si="255"/>
        <v/>
      </c>
      <c r="AA533" s="316" t="str">
        <f t="shared" ca="1" si="256"/>
        <v/>
      </c>
      <c r="AC533" s="310" t="e">
        <f t="shared" ca="1" si="257"/>
        <v>#N/A</v>
      </c>
      <c r="AD533" s="323" t="e">
        <f t="shared" ca="1" si="258"/>
        <v>#N/A</v>
      </c>
      <c r="AE533" s="324">
        <f t="shared" ca="1" si="237"/>
        <v>1729.9315044748018</v>
      </c>
      <c r="AG533" s="306">
        <f t="shared" ca="1" si="259"/>
        <v>-6.9808654476139358</v>
      </c>
      <c r="AH533" s="304">
        <f t="shared" ca="1" si="260"/>
        <v>-0.15192556217473407</v>
      </c>
    </row>
    <row r="534" spans="1:34" x14ac:dyDescent="0.2">
      <c r="A534" s="347">
        <f t="shared" ca="1" si="238"/>
        <v>0.1</v>
      </c>
      <c r="B534" s="304">
        <f t="shared" ca="1" si="239"/>
        <v>16.999999999999929</v>
      </c>
      <c r="D534" s="306">
        <f t="shared" ca="1" si="240"/>
        <v>-0.10524933273999569</v>
      </c>
      <c r="E534" s="307">
        <f t="shared" ca="1" si="241"/>
        <v>-9.904874565951836</v>
      </c>
      <c r="F534" s="304">
        <f t="shared" ca="1" si="242"/>
        <v>9.90543374059318</v>
      </c>
      <c r="G534" s="306">
        <f t="shared" ca="1" si="243"/>
        <v>14.37340403458926</v>
      </c>
      <c r="H534" s="307">
        <f t="shared" ca="1" si="244"/>
        <v>11.975571158515283</v>
      </c>
      <c r="I534" s="304">
        <f t="shared" ca="1" si="245"/>
        <v>18.708528753330924</v>
      </c>
      <c r="J534" s="306">
        <f t="shared" ca="1" si="246"/>
        <v>284.07574345976872</v>
      </c>
      <c r="K534" s="307">
        <f t="shared" ca="1" si="247"/>
        <v>1731.1785859634831</v>
      </c>
      <c r="L534" s="304">
        <f t="shared" ca="1" si="232"/>
        <v>1754.3313040930284</v>
      </c>
      <c r="M534" s="306">
        <f t="shared" ca="1" si="248"/>
        <v>0.69464524730384059</v>
      </c>
      <c r="N534" s="304">
        <f t="shared" ca="1" si="249"/>
        <v>39.800240929331395</v>
      </c>
      <c r="P534" s="310">
        <f t="shared" ca="1" si="250"/>
        <v>23</v>
      </c>
      <c r="Q534" s="304">
        <f t="shared" ca="1" si="251"/>
        <v>0</v>
      </c>
      <c r="R534" s="306">
        <f t="shared" ca="1" si="252"/>
        <v>0</v>
      </c>
      <c r="S534" s="307">
        <f t="shared" ca="1" si="253"/>
        <v>6.8519999999999914</v>
      </c>
      <c r="T534" s="304">
        <f t="shared" ca="1" si="233"/>
        <v>67.218119999999914</v>
      </c>
      <c r="U534" s="311">
        <f t="shared" ca="1" si="234"/>
        <v>0</v>
      </c>
      <c r="V534" s="306">
        <f t="shared" ca="1" si="235"/>
        <v>1.0298247811855858</v>
      </c>
      <c r="W534" s="304">
        <f t="shared" ca="1" si="236"/>
        <v>0.90606411157940625</v>
      </c>
      <c r="Y534" s="314" t="str">
        <f t="shared" ca="1" si="254"/>
        <v/>
      </c>
      <c r="Z534" s="315" t="str">
        <f t="shared" ca="1" si="255"/>
        <v/>
      </c>
      <c r="AA534" s="316" t="str">
        <f t="shared" ca="1" si="256"/>
        <v/>
      </c>
      <c r="AC534" s="310">
        <f t="shared" ca="1" si="257"/>
        <v>16.999999999999929</v>
      </c>
      <c r="AD534" s="323">
        <f t="shared" ca="1" si="258"/>
        <v>284.07574345976872</v>
      </c>
      <c r="AE534" s="324">
        <f t="shared" ca="1" si="237"/>
        <v>1731.1785859634831</v>
      </c>
      <c r="AG534" s="306">
        <f t="shared" ca="1" si="259"/>
        <v>-6.7099847418666867</v>
      </c>
      <c r="AH534" s="304">
        <f t="shared" ca="1" si="260"/>
        <v>-0.14169899543314826</v>
      </c>
    </row>
    <row r="535" spans="1:34" x14ac:dyDescent="0.2">
      <c r="A535" s="347">
        <f t="shared" ca="1" si="238"/>
        <v>0.1</v>
      </c>
      <c r="B535" s="304">
        <f t="shared" ca="1" si="239"/>
        <v>17.09999999999993</v>
      </c>
      <c r="D535" s="306">
        <f t="shared" ca="1" si="240"/>
        <v>-0.10159248240165786</v>
      </c>
      <c r="E535" s="307">
        <f t="shared" ca="1" si="241"/>
        <v>-9.8946443889870128</v>
      </c>
      <c r="F535" s="304">
        <f t="shared" ca="1" si="242"/>
        <v>9.8951659216504666</v>
      </c>
      <c r="G535" s="306">
        <f t="shared" ca="1" si="243"/>
        <v>14.363244786349094</v>
      </c>
      <c r="H535" s="307">
        <f t="shared" ca="1" si="244"/>
        <v>10.986106719616583</v>
      </c>
      <c r="I535" s="304">
        <f t="shared" ca="1" si="245"/>
        <v>18.08306781625809</v>
      </c>
      <c r="J535" s="306">
        <f t="shared" ca="1" si="246"/>
        <v>285.51257590081565</v>
      </c>
      <c r="K535" s="307">
        <f t="shared" ca="1" si="247"/>
        <v>1732.3266698573898</v>
      </c>
      <c r="L535" s="304">
        <f t="shared" ca="1" si="232"/>
        <v>1755.697332143759</v>
      </c>
      <c r="M535" s="306">
        <f t="shared" ca="1" si="248"/>
        <v>0.6529542088713669</v>
      </c>
      <c r="N535" s="304">
        <f t="shared" ca="1" si="249"/>
        <v>37.41152038363294</v>
      </c>
      <c r="P535" s="310">
        <f t="shared" ca="1" si="250"/>
        <v>23</v>
      </c>
      <c r="Q535" s="304">
        <f t="shared" ca="1" si="251"/>
        <v>0</v>
      </c>
      <c r="R535" s="306">
        <f t="shared" ca="1" si="252"/>
        <v>0</v>
      </c>
      <c r="S535" s="307">
        <f t="shared" ca="1" si="253"/>
        <v>6.8519999999999914</v>
      </c>
      <c r="T535" s="304">
        <f t="shared" ca="1" si="233"/>
        <v>67.218119999999914</v>
      </c>
      <c r="U535" s="311">
        <f t="shared" ca="1" si="234"/>
        <v>0</v>
      </c>
      <c r="V535" s="306">
        <f t="shared" ca="1" si="235"/>
        <v>1.0297056624159215</v>
      </c>
      <c r="W535" s="304">
        <f t="shared" ca="1" si="236"/>
        <v>0.84639607741159839</v>
      </c>
      <c r="Y535" s="314" t="str">
        <f t="shared" ca="1" si="254"/>
        <v/>
      </c>
      <c r="Z535" s="315" t="str">
        <f t="shared" ca="1" si="255"/>
        <v/>
      </c>
      <c r="AA535" s="316" t="str">
        <f t="shared" ca="1" si="256"/>
        <v/>
      </c>
      <c r="AC535" s="310" t="e">
        <f t="shared" ca="1" si="257"/>
        <v>#N/A</v>
      </c>
      <c r="AD535" s="323" t="e">
        <f t="shared" ca="1" si="258"/>
        <v>#N/A</v>
      </c>
      <c r="AE535" s="324">
        <f t="shared" ca="1" si="237"/>
        <v>1732.3266698573898</v>
      </c>
      <c r="AG535" s="306">
        <f t="shared" ca="1" si="259"/>
        <v>-6.4117413692189364</v>
      </c>
      <c r="AH535" s="304">
        <f t="shared" ca="1" si="260"/>
        <v>-0.13223352474889191</v>
      </c>
    </row>
    <row r="536" spans="1:34" x14ac:dyDescent="0.2">
      <c r="A536" s="347">
        <f t="shared" ca="1" si="238"/>
        <v>0.1</v>
      </c>
      <c r="B536" s="304">
        <f t="shared" ca="1" si="239"/>
        <v>17.199999999999932</v>
      </c>
      <c r="D536" s="306">
        <f t="shared" ca="1" si="240"/>
        <v>-9.8115300584240145E-2</v>
      </c>
      <c r="E536" s="307">
        <f t="shared" ca="1" si="241"/>
        <v>-9.8850460762229844</v>
      </c>
      <c r="F536" s="304">
        <f t="shared" ca="1" si="242"/>
        <v>9.8855329922700754</v>
      </c>
      <c r="G536" s="306">
        <f t="shared" ca="1" si="243"/>
        <v>14.353433256290669</v>
      </c>
      <c r="H536" s="307">
        <f t="shared" ca="1" si="244"/>
        <v>9.9976021119942846</v>
      </c>
      <c r="I536" s="304">
        <f t="shared" ca="1" si="245"/>
        <v>17.492086617454863</v>
      </c>
      <c r="J536" s="306">
        <f t="shared" ca="1" si="246"/>
        <v>286.94840980294765</v>
      </c>
      <c r="K536" s="307">
        <f t="shared" ca="1" si="247"/>
        <v>1733.3758552989702</v>
      </c>
      <c r="L536" s="304">
        <f t="shared" ca="1" si="232"/>
        <v>1756.9664896126724</v>
      </c>
      <c r="M536" s="306">
        <f t="shared" ca="1" si="248"/>
        <v>0.60839355294483421</v>
      </c>
      <c r="N536" s="304">
        <f t="shared" ca="1" si="249"/>
        <v>34.858382866707998</v>
      </c>
      <c r="P536" s="310">
        <f t="shared" ca="1" si="250"/>
        <v>23</v>
      </c>
      <c r="Q536" s="304">
        <f t="shared" ca="1" si="251"/>
        <v>0</v>
      </c>
      <c r="R536" s="306">
        <f t="shared" ca="1" si="252"/>
        <v>0</v>
      </c>
      <c r="S536" s="307">
        <f t="shared" ca="1" si="253"/>
        <v>6.8519999999999914</v>
      </c>
      <c r="T536" s="304">
        <f t="shared" ca="1" si="233"/>
        <v>67.218119999999914</v>
      </c>
      <c r="U536" s="311">
        <f t="shared" ca="1" si="234"/>
        <v>0</v>
      </c>
      <c r="V536" s="306">
        <f t="shared" ca="1" si="235"/>
        <v>1.0295968158026843</v>
      </c>
      <c r="W536" s="304">
        <f t="shared" ca="1" si="236"/>
        <v>0.79189344524686434</v>
      </c>
      <c r="Y536" s="314" t="str">
        <f t="shared" ca="1" si="254"/>
        <v/>
      </c>
      <c r="Z536" s="315" t="str">
        <f t="shared" ca="1" si="255"/>
        <v/>
      </c>
      <c r="AA536" s="316" t="str">
        <f t="shared" ca="1" si="256"/>
        <v/>
      </c>
      <c r="AC536" s="310" t="e">
        <f t="shared" ca="1" si="257"/>
        <v>#N/A</v>
      </c>
      <c r="AD536" s="323" t="e">
        <f t="shared" ca="1" si="258"/>
        <v>#N/A</v>
      </c>
      <c r="AE536" s="324">
        <f t="shared" ca="1" si="237"/>
        <v>1733.3758552989702</v>
      </c>
      <c r="AG536" s="306">
        <f t="shared" ca="1" si="259"/>
        <v>-6.0834492420796682</v>
      </c>
      <c r="AH536" s="304">
        <f t="shared" ca="1" si="260"/>
        <v>-0.12352540534319899</v>
      </c>
    </row>
    <row r="537" spans="1:34" x14ac:dyDescent="0.2">
      <c r="A537" s="347">
        <f t="shared" ca="1" si="238"/>
        <v>0.1</v>
      </c>
      <c r="B537" s="304">
        <f t="shared" ca="1" si="239"/>
        <v>17.299999999999933</v>
      </c>
      <c r="D537" s="306">
        <f t="shared" ca="1" si="240"/>
        <v>-9.4833890774930291E-2</v>
      </c>
      <c r="E537" s="307">
        <f t="shared" ca="1" si="241"/>
        <v>-9.8760546846019963</v>
      </c>
      <c r="F537" s="304">
        <f t="shared" ca="1" si="242"/>
        <v>9.8765099908868894</v>
      </c>
      <c r="G537" s="306">
        <f t="shared" ca="1" si="243"/>
        <v>14.343949867213176</v>
      </c>
      <c r="H537" s="307">
        <f t="shared" ca="1" si="244"/>
        <v>9.0099966435340857</v>
      </c>
      <c r="I537" s="304">
        <f t="shared" ca="1" si="245"/>
        <v>16.938976867261506</v>
      </c>
      <c r="J537" s="306">
        <f t="shared" ca="1" si="246"/>
        <v>288.38327895912283</v>
      </c>
      <c r="K537" s="307">
        <f t="shared" ca="1" si="247"/>
        <v>1734.3262352367467</v>
      </c>
      <c r="L537" s="304">
        <f t="shared" ca="1" si="232"/>
        <v>1758.1389040157442</v>
      </c>
      <c r="M537" s="306">
        <f t="shared" ca="1" si="248"/>
        <v>0.5608535058040317</v>
      </c>
      <c r="N537" s="304">
        <f t="shared" ca="1" si="249"/>
        <v>32.134538807687036</v>
      </c>
      <c r="P537" s="310">
        <f t="shared" ca="1" si="250"/>
        <v>23</v>
      </c>
      <c r="Q537" s="304">
        <f t="shared" ca="1" si="251"/>
        <v>0</v>
      </c>
      <c r="R537" s="306">
        <f t="shared" ca="1" si="252"/>
        <v>0</v>
      </c>
      <c r="S537" s="307">
        <f t="shared" ca="1" si="253"/>
        <v>6.8519999999999914</v>
      </c>
      <c r="T537" s="304">
        <f t="shared" ca="1" si="233"/>
        <v>67.218119999999914</v>
      </c>
      <c r="U537" s="311">
        <f t="shared" ca="1" si="234"/>
        <v>0</v>
      </c>
      <c r="V537" s="306">
        <f t="shared" ca="1" si="235"/>
        <v>1.0294982287308645</v>
      </c>
      <c r="W537" s="304">
        <f t="shared" ca="1" si="236"/>
        <v>0.74253387715132357</v>
      </c>
      <c r="Y537" s="314" t="str">
        <f t="shared" ca="1" si="254"/>
        <v/>
      </c>
      <c r="Z537" s="315" t="str">
        <f t="shared" ca="1" si="255"/>
        <v/>
      </c>
      <c r="AA537" s="316" t="str">
        <f t="shared" ca="1" si="256"/>
        <v/>
      </c>
      <c r="AC537" s="310" t="e">
        <f t="shared" ca="1" si="257"/>
        <v>#N/A</v>
      </c>
      <c r="AD537" s="323" t="e">
        <f t="shared" ca="1" si="258"/>
        <v>#N/A</v>
      </c>
      <c r="AE537" s="324">
        <f t="shared" ca="1" si="237"/>
        <v>1734.3262352367467</v>
      </c>
      <c r="AG537" s="306">
        <f t="shared" ca="1" si="259"/>
        <v>-5.7224766423655371</v>
      </c>
      <c r="AH537" s="304">
        <f t="shared" ca="1" si="260"/>
        <v>-0.11557113911950749</v>
      </c>
    </row>
    <row r="538" spans="1:34" x14ac:dyDescent="0.2">
      <c r="A538" s="347">
        <f t="shared" ca="1" si="238"/>
        <v>0.1</v>
      </c>
      <c r="B538" s="304">
        <f t="shared" ca="1" si="239"/>
        <v>17.399999999999935</v>
      </c>
      <c r="D538" s="306">
        <f t="shared" ca="1" si="240"/>
        <v>-9.1765725401927539E-2</v>
      </c>
      <c r="E538" s="307">
        <f t="shared" ca="1" si="241"/>
        <v>-9.8676416458170095</v>
      </c>
      <c r="F538" s="304">
        <f t="shared" ca="1" si="242"/>
        <v>9.8680683316756976</v>
      </c>
      <c r="G538" s="306">
        <f t="shared" ca="1" si="243"/>
        <v>14.334773294672983</v>
      </c>
      <c r="H538" s="307">
        <f t="shared" ca="1" si="244"/>
        <v>8.0232324789523854</v>
      </c>
      <c r="I538" s="304">
        <f t="shared" ca="1" si="245"/>
        <v>16.427354772481969</v>
      </c>
      <c r="J538" s="306">
        <f t="shared" ca="1" si="246"/>
        <v>289.81721511721713</v>
      </c>
      <c r="K538" s="307">
        <f t="shared" ca="1" si="247"/>
        <v>1735.1778966928709</v>
      </c>
      <c r="L538" s="304">
        <f t="shared" ca="1" si="232"/>
        <v>1759.2146973436174</v>
      </c>
      <c r="M538" s="306">
        <f t="shared" ca="1" si="248"/>
        <v>0.51026309274964443</v>
      </c>
      <c r="N538" s="304">
        <f t="shared" ca="1" si="249"/>
        <v>29.235921655847104</v>
      </c>
      <c r="P538" s="310">
        <f t="shared" ca="1" si="250"/>
        <v>23</v>
      </c>
      <c r="Q538" s="304">
        <f t="shared" ca="1" si="251"/>
        <v>0</v>
      </c>
      <c r="R538" s="306">
        <f t="shared" ca="1" si="252"/>
        <v>0</v>
      </c>
      <c r="S538" s="307">
        <f t="shared" ca="1" si="253"/>
        <v>6.8519999999999914</v>
      </c>
      <c r="T538" s="304">
        <f t="shared" ca="1" si="233"/>
        <v>67.218119999999914</v>
      </c>
      <c r="U538" s="311">
        <f t="shared" ca="1" si="234"/>
        <v>0</v>
      </c>
      <c r="V538" s="306">
        <f t="shared" ca="1" si="235"/>
        <v>1.0294098894840711</v>
      </c>
      <c r="W538" s="304">
        <f t="shared" ca="1" si="236"/>
        <v>0.69829660096575874</v>
      </c>
      <c r="Y538" s="314" t="str">
        <f t="shared" ca="1" si="254"/>
        <v/>
      </c>
      <c r="Z538" s="315" t="str">
        <f t="shared" ca="1" si="255"/>
        <v/>
      </c>
      <c r="AA538" s="316" t="str">
        <f t="shared" ca="1" si="256"/>
        <v/>
      </c>
      <c r="AC538" s="310" t="e">
        <f t="shared" ca="1" si="257"/>
        <v>#N/A</v>
      </c>
      <c r="AD538" s="323" t="e">
        <f t="shared" ca="1" si="258"/>
        <v>#N/A</v>
      </c>
      <c r="AE538" s="324">
        <f t="shared" ca="1" si="237"/>
        <v>1735.1778966928709</v>
      </c>
      <c r="AG538" s="306">
        <f t="shared" ca="1" si="259"/>
        <v>-5.32639614423704</v>
      </c>
      <c r="AH538" s="304">
        <f t="shared" ca="1" si="260"/>
        <v>-0.10836746601741455</v>
      </c>
    </row>
    <row r="539" spans="1:34" x14ac:dyDescent="0.2">
      <c r="A539" s="347">
        <f t="shared" ca="1" si="238"/>
        <v>0.1</v>
      </c>
      <c r="B539" s="304">
        <f t="shared" ca="1" si="239"/>
        <v>17.499999999999936</v>
      </c>
      <c r="D539" s="306">
        <f t="shared" ca="1" si="240"/>
        <v>-8.8929482743926161E-2</v>
      </c>
      <c r="E539" s="307">
        <f t="shared" ca="1" si="241"/>
        <v>-9.8597742028855571</v>
      </c>
      <c r="F539" s="304">
        <f t="shared" ca="1" si="242"/>
        <v>9.860175241079066</v>
      </c>
      <c r="G539" s="306">
        <f t="shared" ca="1" si="243"/>
        <v>14.325880346398591</v>
      </c>
      <c r="H539" s="307">
        <f t="shared" ca="1" si="244"/>
        <v>7.0372550586638294</v>
      </c>
      <c r="I539" s="304">
        <f t="shared" ca="1" si="245"/>
        <v>15.961008942420246</v>
      </c>
      <c r="J539" s="306">
        <f t="shared" ca="1" si="246"/>
        <v>291.25024779927071</v>
      </c>
      <c r="K539" s="307">
        <f t="shared" ca="1" si="247"/>
        <v>1735.9309210697518</v>
      </c>
      <c r="L539" s="304">
        <f t="shared" ca="1" si="232"/>
        <v>1760.193986346168</v>
      </c>
      <c r="M539" s="306">
        <f t="shared" ca="1" si="248"/>
        <v>0.45660437546862431</v>
      </c>
      <c r="N539" s="304">
        <f t="shared" ca="1" si="249"/>
        <v>26.161503621558953</v>
      </c>
      <c r="P539" s="310">
        <f t="shared" ca="1" si="250"/>
        <v>23</v>
      </c>
      <c r="Q539" s="304">
        <f t="shared" ca="1" si="251"/>
        <v>0</v>
      </c>
      <c r="R539" s="306">
        <f t="shared" ca="1" si="252"/>
        <v>0</v>
      </c>
      <c r="S539" s="307">
        <f t="shared" ca="1" si="253"/>
        <v>6.8519999999999914</v>
      </c>
      <c r="T539" s="304">
        <f t="shared" ca="1" si="233"/>
        <v>67.218119999999914</v>
      </c>
      <c r="U539" s="311">
        <f t="shared" ca="1" si="234"/>
        <v>0</v>
      </c>
      <c r="V539" s="306">
        <f t="shared" ca="1" si="235"/>
        <v>1.0293317872114598</v>
      </c>
      <c r="W539" s="304">
        <f t="shared" ca="1" si="236"/>
        <v>0.65916233789641321</v>
      </c>
      <c r="Y539" s="314" t="str">
        <f t="shared" ca="1" si="254"/>
        <v/>
      </c>
      <c r="Z539" s="315" t="str">
        <f t="shared" ca="1" si="255"/>
        <v/>
      </c>
      <c r="AA539" s="316" t="str">
        <f t="shared" ca="1" si="256"/>
        <v/>
      </c>
      <c r="AC539" s="310" t="e">
        <f t="shared" ca="1" si="257"/>
        <v>#N/A</v>
      </c>
      <c r="AD539" s="323" t="e">
        <f t="shared" ca="1" si="258"/>
        <v>#N/A</v>
      </c>
      <c r="AE539" s="324">
        <f t="shared" ca="1" si="237"/>
        <v>1735.9309210697518</v>
      </c>
      <c r="AG539" s="306">
        <f t="shared" ca="1" si="259"/>
        <v>-4.8931824817423264</v>
      </c>
      <c r="AH539" s="304">
        <f t="shared" ca="1" si="260"/>
        <v>-0.10191135449004081</v>
      </c>
    </row>
    <row r="540" spans="1:34" x14ac:dyDescent="0.2">
      <c r="A540" s="347">
        <f t="shared" ca="1" si="238"/>
        <v>0.1</v>
      </c>
      <c r="B540" s="304">
        <f t="shared" ca="1" si="239"/>
        <v>17.599999999999937</v>
      </c>
      <c r="D540" s="306">
        <f t="shared" ca="1" si="240"/>
        <v>-8.6344764572943114E-2</v>
      </c>
      <c r="E540" s="307">
        <f t="shared" ca="1" si="241"/>
        <v>-9.8524148545560646</v>
      </c>
      <c r="F540" s="304">
        <f t="shared" ca="1" si="242"/>
        <v>9.8527932021658788</v>
      </c>
      <c r="G540" s="306">
        <f t="shared" ca="1" si="243"/>
        <v>14.317245869941297</v>
      </c>
      <c r="H540" s="307">
        <f t="shared" ca="1" si="244"/>
        <v>6.0520135732082228</v>
      </c>
      <c r="I540" s="304">
        <f t="shared" ca="1" si="245"/>
        <v>15.543821846336495</v>
      </c>
      <c r="J540" s="306">
        <f t="shared" ca="1" si="246"/>
        <v>292.6824041100877</v>
      </c>
      <c r="K540" s="307">
        <f t="shared" ca="1" si="247"/>
        <v>1736.5853845013453</v>
      </c>
      <c r="L540" s="304">
        <f t="shared" ca="1" si="232"/>
        <v>1761.0768828587088</v>
      </c>
      <c r="M540" s="306">
        <f t="shared" ca="1" si="248"/>
        <v>0.39992765513836348</v>
      </c>
      <c r="N540" s="304">
        <f t="shared" ca="1" si="249"/>
        <v>22.914166749991697</v>
      </c>
      <c r="P540" s="310">
        <f t="shared" ca="1" si="250"/>
        <v>23</v>
      </c>
      <c r="Q540" s="304">
        <f t="shared" ca="1" si="251"/>
        <v>0</v>
      </c>
      <c r="R540" s="306">
        <f t="shared" ca="1" si="252"/>
        <v>0</v>
      </c>
      <c r="S540" s="307">
        <f t="shared" ca="1" si="253"/>
        <v>6.8519999999999914</v>
      </c>
      <c r="T540" s="304">
        <f t="shared" ca="1" si="233"/>
        <v>67.218119999999914</v>
      </c>
      <c r="U540" s="311">
        <f t="shared" ca="1" si="234"/>
        <v>0</v>
      </c>
      <c r="V540" s="306">
        <f t="shared" ca="1" si="235"/>
        <v>1.0292639118901381</v>
      </c>
      <c r="W540" s="304">
        <f t="shared" ca="1" si="236"/>
        <v>0.62511322178087414</v>
      </c>
      <c r="Y540" s="314" t="str">
        <f t="shared" ca="1" si="254"/>
        <v/>
      </c>
      <c r="Z540" s="315" t="str">
        <f t="shared" ca="1" si="255"/>
        <v/>
      </c>
      <c r="AA540" s="316" t="str">
        <f t="shared" ca="1" si="256"/>
        <v/>
      </c>
      <c r="AC540" s="310" t="e">
        <f t="shared" ca="1" si="257"/>
        <v>#N/A</v>
      </c>
      <c r="AD540" s="323" t="e">
        <f t="shared" ca="1" si="258"/>
        <v>#N/A</v>
      </c>
      <c r="AE540" s="324">
        <f t="shared" ca="1" si="237"/>
        <v>1736.5853845013453</v>
      </c>
      <c r="AG540" s="306">
        <f t="shared" ca="1" si="259"/>
        <v>-4.4214573963134587</v>
      </c>
      <c r="AH540" s="304">
        <f t="shared" ca="1" si="260"/>
        <v>-9.6199990936429364E-2</v>
      </c>
    </row>
    <row r="541" spans="1:34" x14ac:dyDescent="0.2">
      <c r="A541" s="347">
        <f t="shared" ca="1" si="238"/>
        <v>0.1</v>
      </c>
      <c r="B541" s="304">
        <f t="shared" ca="1" si="239"/>
        <v>17.699999999999939</v>
      </c>
      <c r="D541" s="306">
        <f t="shared" ca="1" si="240"/>
        <v>-8.4031671754362644E-2</v>
      </c>
      <c r="E541" s="307">
        <f t="shared" ca="1" si="241"/>
        <v>-9.8455208552438496</v>
      </c>
      <c r="F541" s="304">
        <f t="shared" ca="1" si="242"/>
        <v>9.8458794545179877</v>
      </c>
      <c r="G541" s="306">
        <f t="shared" ca="1" si="243"/>
        <v>14.308842702765862</v>
      </c>
      <c r="H541" s="307">
        <f t="shared" ca="1" si="244"/>
        <v>5.067461487683838</v>
      </c>
      <c r="I541" s="304">
        <f t="shared" ca="1" si="245"/>
        <v>15.179662230156993</v>
      </c>
      <c r="J541" s="306">
        <f t="shared" ca="1" si="246"/>
        <v>294.11370853872307</v>
      </c>
      <c r="K541" s="307">
        <f t="shared" ca="1" si="247"/>
        <v>1737.1413582543898</v>
      </c>
      <c r="L541" s="304">
        <f t="shared" ca="1" si="232"/>
        <v>1761.8634941755015</v>
      </c>
      <c r="M541" s="306">
        <f t="shared" ca="1" si="248"/>
        <v>0.34036618833103149</v>
      </c>
      <c r="N541" s="304">
        <f t="shared" ca="1" si="249"/>
        <v>19.501546080323035</v>
      </c>
      <c r="P541" s="310">
        <f t="shared" ca="1" si="250"/>
        <v>23</v>
      </c>
      <c r="Q541" s="304">
        <f t="shared" ca="1" si="251"/>
        <v>0</v>
      </c>
      <c r="R541" s="306">
        <f t="shared" ca="1" si="252"/>
        <v>0</v>
      </c>
      <c r="S541" s="307">
        <f t="shared" ca="1" si="253"/>
        <v>6.8519999999999914</v>
      </c>
      <c r="T541" s="304">
        <f t="shared" ca="1" si="233"/>
        <v>67.218119999999914</v>
      </c>
      <c r="U541" s="311">
        <f t="shared" ca="1" si="234"/>
        <v>0</v>
      </c>
      <c r="V541" s="306">
        <f t="shared" ca="1" si="235"/>
        <v>1.0292062542825073</v>
      </c>
      <c r="W541" s="304">
        <f t="shared" ca="1" si="236"/>
        <v>0.59613270893747328</v>
      </c>
      <c r="Y541" s="314" t="str">
        <f t="shared" ca="1" si="254"/>
        <v/>
      </c>
      <c r="Z541" s="315" t="str">
        <f t="shared" ca="1" si="255"/>
        <v/>
      </c>
      <c r="AA541" s="316" t="str">
        <f t="shared" ca="1" si="256"/>
        <v/>
      </c>
      <c r="AC541" s="310" t="e">
        <f t="shared" ca="1" si="257"/>
        <v>#N/A</v>
      </c>
      <c r="AD541" s="323" t="e">
        <f t="shared" ca="1" si="258"/>
        <v>#N/A</v>
      </c>
      <c r="AE541" s="324">
        <f t="shared" ca="1" si="237"/>
        <v>1737.1413582543898</v>
      </c>
      <c r="AG541" s="306">
        <f t="shared" ca="1" si="259"/>
        <v>-3.9107710161344227</v>
      </c>
      <c r="AH541" s="304">
        <f t="shared" ca="1" si="260"/>
        <v>-9.1230767918983491E-2</v>
      </c>
    </row>
    <row r="542" spans="1:34" x14ac:dyDescent="0.2">
      <c r="A542" s="347">
        <f t="shared" ca="1" si="238"/>
        <v>0.1</v>
      </c>
      <c r="B542" s="304">
        <f t="shared" ca="1" si="239"/>
        <v>17.79999999999994</v>
      </c>
      <c r="D542" s="306">
        <f t="shared" ca="1" si="240"/>
        <v>-8.2010224134071025E-2</v>
      </c>
      <c r="E542" s="307">
        <f t="shared" ca="1" si="241"/>
        <v>-9.8390438340142907</v>
      </c>
      <c r="F542" s="304">
        <f t="shared" ca="1" si="242"/>
        <v>9.8393856131629054</v>
      </c>
      <c r="G542" s="306">
        <f t="shared" ca="1" si="243"/>
        <v>14.300641680352454</v>
      </c>
      <c r="H542" s="307">
        <f t="shared" ca="1" si="244"/>
        <v>4.0835571042824093</v>
      </c>
      <c r="I542" s="304">
        <f t="shared" ca="1" si="245"/>
        <v>14.872249026081064</v>
      </c>
      <c r="J542" s="306">
        <f t="shared" ca="1" si="246"/>
        <v>295.54418275787901</v>
      </c>
      <c r="K542" s="307">
        <f t="shared" ca="1" si="247"/>
        <v>1737.5989091839881</v>
      </c>
      <c r="L542" s="304">
        <f t="shared" ca="1" si="232"/>
        <v>1762.5539234756502</v>
      </c>
      <c r="M542" s="306">
        <f t="shared" ca="1" si="248"/>
        <v>0.2781483392712249</v>
      </c>
      <c r="N542" s="304">
        <f t="shared" ca="1" si="249"/>
        <v>15.936725918814119</v>
      </c>
      <c r="P542" s="310">
        <f t="shared" ca="1" si="250"/>
        <v>23</v>
      </c>
      <c r="Q542" s="304">
        <f t="shared" ca="1" si="251"/>
        <v>0</v>
      </c>
      <c r="R542" s="306">
        <f t="shared" ca="1" si="252"/>
        <v>0</v>
      </c>
      <c r="S542" s="307">
        <f t="shared" ca="1" si="253"/>
        <v>6.8519999999999914</v>
      </c>
      <c r="T542" s="304">
        <f t="shared" ca="1" si="233"/>
        <v>67.218119999999914</v>
      </c>
      <c r="U542" s="311">
        <f t="shared" ca="1" si="234"/>
        <v>0</v>
      </c>
      <c r="V542" s="306">
        <f t="shared" ca="1" si="235"/>
        <v>1.0291588058880705</v>
      </c>
      <c r="W542" s="304">
        <f t="shared" ca="1" si="236"/>
        <v>0.57220547769625729</v>
      </c>
      <c r="Y542" s="314" t="str">
        <f t="shared" ca="1" si="254"/>
        <v/>
      </c>
      <c r="Z542" s="315" t="str">
        <f t="shared" ca="1" si="255"/>
        <v/>
      </c>
      <c r="AA542" s="316" t="str">
        <f t="shared" ca="1" si="256"/>
        <v/>
      </c>
      <c r="AC542" s="310" t="e">
        <f t="shared" ca="1" si="257"/>
        <v>#N/A</v>
      </c>
      <c r="AD542" s="323" t="e">
        <f t="shared" ca="1" si="258"/>
        <v>#N/A</v>
      </c>
      <c r="AE542" s="324">
        <f t="shared" ca="1" si="237"/>
        <v>1737.5989091839881</v>
      </c>
      <c r="AG542" s="306">
        <f t="shared" ca="1" si="259"/>
        <v>-3.3618960901691781</v>
      </c>
      <c r="AH542" s="304">
        <f t="shared" ca="1" si="260"/>
        <v>-8.7001271006636599E-2</v>
      </c>
    </row>
    <row r="543" spans="1:34" x14ac:dyDescent="0.2">
      <c r="A543" s="347">
        <f t="shared" ca="1" si="238"/>
        <v>0.1</v>
      </c>
      <c r="B543" s="304">
        <f t="shared" ca="1" si="239"/>
        <v>17.899999999999942</v>
      </c>
      <c r="D543" s="306">
        <f t="shared" ca="1" si="240"/>
        <v>-8.0299627915258104E-2</v>
      </c>
      <c r="E543" s="307">
        <f t="shared" ca="1" si="241"/>
        <v>-9.8329296085709981</v>
      </c>
      <c r="F543" s="304">
        <f t="shared" ca="1" si="242"/>
        <v>9.8332574825108452</v>
      </c>
      <c r="G543" s="306">
        <f t="shared" ca="1" si="243"/>
        <v>14.292611717560929</v>
      </c>
      <c r="H543" s="307">
        <f t="shared" ca="1" si="244"/>
        <v>3.1002641434253095</v>
      </c>
      <c r="I543" s="304">
        <f t="shared" ca="1" si="245"/>
        <v>14.624991879244536</v>
      </c>
      <c r="J543" s="306">
        <f t="shared" ca="1" si="246"/>
        <v>296.97384542777468</v>
      </c>
      <c r="K543" s="307">
        <f t="shared" ca="1" si="247"/>
        <v>1737.9581002463735</v>
      </c>
      <c r="L543" s="304">
        <f t="shared" ca="1" si="232"/>
        <v>1763.1482703051788</v>
      </c>
      <c r="M543" s="306">
        <f t="shared" ca="1" si="248"/>
        <v>0.21360464357851106</v>
      </c>
      <c r="N543" s="304">
        <f t="shared" ca="1" si="249"/>
        <v>12.238644561444906</v>
      </c>
      <c r="P543" s="310">
        <f t="shared" ca="1" si="250"/>
        <v>23</v>
      </c>
      <c r="Q543" s="304">
        <f t="shared" ca="1" si="251"/>
        <v>0</v>
      </c>
      <c r="R543" s="306">
        <f t="shared" ca="1" si="252"/>
        <v>0</v>
      </c>
      <c r="S543" s="307">
        <f t="shared" ca="1" si="253"/>
        <v>6.8519999999999914</v>
      </c>
      <c r="T543" s="304">
        <f t="shared" ca="1" si="233"/>
        <v>67.218119999999914</v>
      </c>
      <c r="U543" s="311">
        <f t="shared" ca="1" si="234"/>
        <v>0</v>
      </c>
      <c r="V543" s="306">
        <f t="shared" ca="1" si="235"/>
        <v>1.0291215588894085</v>
      </c>
      <c r="W543" s="304">
        <f t="shared" ca="1" si="236"/>
        <v>0.5533173170440745</v>
      </c>
      <c r="Y543" s="314" t="str">
        <f t="shared" ca="1" si="254"/>
        <v/>
      </c>
      <c r="Z543" s="315" t="str">
        <f t="shared" ca="1" si="255"/>
        <v/>
      </c>
      <c r="AA543" s="316" t="str">
        <f t="shared" ca="1" si="256"/>
        <v/>
      </c>
      <c r="AC543" s="310" t="e">
        <f t="shared" ca="1" si="257"/>
        <v>#N/A</v>
      </c>
      <c r="AD543" s="323" t="e">
        <f t="shared" ca="1" si="258"/>
        <v>#N/A</v>
      </c>
      <c r="AE543" s="324">
        <f t="shared" ca="1" si="237"/>
        <v>1737.9581002463735</v>
      </c>
      <c r="AG543" s="306">
        <f t="shared" ca="1" si="259"/>
        <v>-2.7770961669913574</v>
      </c>
      <c r="AH543" s="304">
        <f t="shared" ca="1" si="260"/>
        <v>-8.3509264112121714E-2</v>
      </c>
    </row>
    <row r="544" spans="1:34" x14ac:dyDescent="0.2">
      <c r="A544" s="347">
        <f t="shared" ca="1" si="238"/>
        <v>0.1</v>
      </c>
      <c r="B544" s="304">
        <f t="shared" ca="1" si="239"/>
        <v>17.999999999999943</v>
      </c>
      <c r="D544" s="306">
        <f t="shared" ca="1" si="240"/>
        <v>-7.8917418437671721E-2</v>
      </c>
      <c r="E544" s="307">
        <f t="shared" ca="1" si="241"/>
        <v>-9.8271182739382326</v>
      </c>
      <c r="F544" s="304">
        <f t="shared" ca="1" si="242"/>
        <v>9.8274351449858788</v>
      </c>
      <c r="G544" s="306">
        <f t="shared" ca="1" si="243"/>
        <v>14.284719975717161</v>
      </c>
      <c r="H544" s="307">
        <f t="shared" ca="1" si="244"/>
        <v>2.1175523160314862</v>
      </c>
      <c r="I544" s="304">
        <f t="shared" ca="1" si="245"/>
        <v>14.440818972474629</v>
      </c>
      <c r="J544" s="306">
        <f t="shared" ca="1" si="246"/>
        <v>298.4027120124386</v>
      </c>
      <c r="K544" s="307">
        <f t="shared" ca="1" si="247"/>
        <v>1738.2189910693464</v>
      </c>
      <c r="L544" s="304">
        <f t="shared" ca="1" si="232"/>
        <v>1763.6466311170486</v>
      </c>
      <c r="M544" s="306">
        <f t="shared" ca="1" si="248"/>
        <v>0.14716723512982807</v>
      </c>
      <c r="N544" s="304">
        <f t="shared" ca="1" si="249"/>
        <v>8.4320614555485722</v>
      </c>
      <c r="P544" s="310">
        <f t="shared" ca="1" si="250"/>
        <v>23</v>
      </c>
      <c r="Q544" s="304">
        <f t="shared" ca="1" si="251"/>
        <v>0</v>
      </c>
      <c r="R544" s="306">
        <f t="shared" ca="1" si="252"/>
        <v>0</v>
      </c>
      <c r="S544" s="307">
        <f t="shared" ca="1" si="253"/>
        <v>6.8519999999999914</v>
      </c>
      <c r="T544" s="304">
        <f t="shared" ca="1" si="233"/>
        <v>67.218119999999914</v>
      </c>
      <c r="U544" s="311">
        <f t="shared" ca="1" si="234"/>
        <v>0</v>
      </c>
      <c r="V544" s="306">
        <f t="shared" ca="1" si="235"/>
        <v>1.0290945060922674</v>
      </c>
      <c r="W544" s="304">
        <f t="shared" ca="1" si="236"/>
        <v>0.53945500431066118</v>
      </c>
      <c r="Y544" s="314" t="str">
        <f t="shared" ca="1" si="254"/>
        <v/>
      </c>
      <c r="Z544" s="315" t="str">
        <f t="shared" ca="1" si="255"/>
        <v/>
      </c>
      <c r="AA544" s="316" t="str">
        <f t="shared" ca="1" si="256"/>
        <v/>
      </c>
      <c r="AC544" s="310">
        <f t="shared" ca="1" si="257"/>
        <v>17.999999999999943</v>
      </c>
      <c r="AD544" s="323">
        <f t="shared" ca="1" si="258"/>
        <v>298.4027120124386</v>
      </c>
      <c r="AE544" s="324">
        <f t="shared" ca="1" si="237"/>
        <v>1738.2189910693464</v>
      </c>
      <c r="AG544" s="306">
        <f t="shared" ca="1" si="259"/>
        <v>-2.1603156226165567</v>
      </c>
      <c r="AH544" s="304">
        <f t="shared" ca="1" si="260"/>
        <v>-8.0752673240524694E-2</v>
      </c>
    </row>
    <row r="545" spans="1:34" x14ac:dyDescent="0.2">
      <c r="A545" s="347">
        <f t="shared" ca="1" si="238"/>
        <v>0.1</v>
      </c>
      <c r="B545" s="304">
        <f t="shared" ca="1" si="239"/>
        <v>18.099999999999945</v>
      </c>
      <c r="D545" s="306">
        <f t="shared" ca="1" si="240"/>
        <v>-7.7878536110237429E-2</v>
      </c>
      <c r="E545" s="307">
        <f t="shared" ca="1" si="241"/>
        <v>-9.8215446347418585</v>
      </c>
      <c r="F545" s="304">
        <f t="shared" ca="1" si="242"/>
        <v>9.8218533932559424</v>
      </c>
      <c r="G545" s="306">
        <f t="shared" ca="1" si="243"/>
        <v>14.276932122106137</v>
      </c>
      <c r="H545" s="307">
        <f t="shared" ca="1" si="244"/>
        <v>1.1353978525573003</v>
      </c>
      <c r="I545" s="304">
        <f t="shared" ca="1" si="245"/>
        <v>14.322008207748583</v>
      </c>
      <c r="J545" s="306">
        <f t="shared" ca="1" si="246"/>
        <v>299.83079461732979</v>
      </c>
      <c r="K545" s="307">
        <f t="shared" ca="1" si="247"/>
        <v>1738.3816385777759</v>
      </c>
      <c r="L545" s="304">
        <f t="shared" ca="1" si="232"/>
        <v>1764.0490998680316</v>
      </c>
      <c r="M545" s="306">
        <f t="shared" ca="1" si="248"/>
        <v>7.9359716522371143E-2</v>
      </c>
      <c r="N545" s="304">
        <f t="shared" ca="1" si="249"/>
        <v>4.5469768200864928</v>
      </c>
      <c r="P545" s="310">
        <f t="shared" ca="1" si="250"/>
        <v>23</v>
      </c>
      <c r="Q545" s="304">
        <f t="shared" ca="1" si="251"/>
        <v>0</v>
      </c>
      <c r="R545" s="306">
        <f t="shared" ca="1" si="252"/>
        <v>0</v>
      </c>
      <c r="S545" s="307">
        <f t="shared" ca="1" si="253"/>
        <v>6.8519999999999914</v>
      </c>
      <c r="T545" s="304">
        <f t="shared" ca="1" si="233"/>
        <v>67.218119999999914</v>
      </c>
      <c r="U545" s="311">
        <f t="shared" ca="1" si="234"/>
        <v>0</v>
      </c>
      <c r="V545" s="306">
        <f t="shared" ca="1" si="235"/>
        <v>1.0290776408600124</v>
      </c>
      <c r="W545" s="304">
        <f t="shared" ca="1" si="236"/>
        <v>0.53060617246682851</v>
      </c>
      <c r="Y545" s="314" t="str">
        <f t="shared" ca="1" si="254"/>
        <v/>
      </c>
      <c r="Z545" s="315" t="str">
        <f t="shared" ca="1" si="255"/>
        <v/>
      </c>
      <c r="AA545" s="316" t="str">
        <f t="shared" ca="1" si="256"/>
        <v/>
      </c>
      <c r="AC545" s="310" t="e">
        <f t="shared" ca="1" si="257"/>
        <v>#N/A</v>
      </c>
      <c r="AD545" s="323" t="e">
        <f t="shared" ca="1" si="258"/>
        <v>#N/A</v>
      </c>
      <c r="AE545" s="324">
        <f t="shared" ca="1" si="237"/>
        <v>1738.3816385777759</v>
      </c>
      <c r="AG545" s="306">
        <f t="shared" ca="1" si="259"/>
        <v>-1.5172344248979366</v>
      </c>
      <c r="AH545" s="304">
        <f t="shared" ca="1" si="260"/>
        <v>-7.8729568638450362E-2</v>
      </c>
    </row>
    <row r="546" spans="1:34" x14ac:dyDescent="0.2">
      <c r="A546" s="347">
        <f t="shared" ca="1" si="238"/>
        <v>0.1</v>
      </c>
      <c r="B546" s="304">
        <f t="shared" ca="1" si="239"/>
        <v>18.199999999999946</v>
      </c>
      <c r="D546" s="306">
        <f t="shared" ca="1" si="240"/>
        <v>-7.7194422031335766E-2</v>
      </c>
      <c r="E546" s="307">
        <f t="shared" ca="1" si="241"/>
        <v>-9.8161390206421224</v>
      </c>
      <c r="F546" s="304">
        <f t="shared" ca="1" si="242"/>
        <v>9.8164425456152724</v>
      </c>
      <c r="G546" s="306">
        <f t="shared" ca="1" si="243"/>
        <v>14.269212679903003</v>
      </c>
      <c r="H546" s="307">
        <f t="shared" ca="1" si="244"/>
        <v>0.15378395049308802</v>
      </c>
      <c r="I546" s="304">
        <f t="shared" ca="1" si="245"/>
        <v>14.270041345691116</v>
      </c>
      <c r="J546" s="306">
        <f t="shared" ca="1" si="246"/>
        <v>301.25810185743023</v>
      </c>
      <c r="K546" s="307">
        <f t="shared" ca="1" si="247"/>
        <v>1738.4460976679284</v>
      </c>
      <c r="L546" s="304">
        <f t="shared" ca="1" si="232"/>
        <v>1764.3557686678701</v>
      </c>
      <c r="M546" s="306">
        <f t="shared" ca="1" si="248"/>
        <v>1.077690832125431E-2</v>
      </c>
      <c r="N546" s="304">
        <f t="shared" ca="1" si="249"/>
        <v>0.61747136300728911</v>
      </c>
      <c r="P546" s="310">
        <f t="shared" ca="1" si="250"/>
        <v>23</v>
      </c>
      <c r="Q546" s="304">
        <f t="shared" ca="1" si="251"/>
        <v>0</v>
      </c>
      <c r="R546" s="306">
        <f t="shared" ca="1" si="252"/>
        <v>0</v>
      </c>
      <c r="S546" s="307">
        <f t="shared" ca="1" si="253"/>
        <v>6.8519999999999914</v>
      </c>
      <c r="T546" s="304">
        <f t="shared" ca="1" si="233"/>
        <v>67.218119999999914</v>
      </c>
      <c r="U546" s="311">
        <f t="shared" ca="1" si="234"/>
        <v>0</v>
      </c>
      <c r="V546" s="306">
        <f t="shared" ca="1" si="235"/>
        <v>1.0290709570430912</v>
      </c>
      <c r="W546" s="304">
        <f t="shared" ca="1" si="236"/>
        <v>0.526759168355042</v>
      </c>
      <c r="Y546" s="314" t="str">
        <f t="shared" ca="1" si="254"/>
        <v>Apogée</v>
      </c>
      <c r="Z546" s="315" t="str">
        <f t="shared" ca="1" si="255"/>
        <v/>
      </c>
      <c r="AA546" s="316" t="str">
        <f t="shared" ca="1" si="256"/>
        <v/>
      </c>
      <c r="AC546" s="310" t="e">
        <f t="shared" ca="1" si="257"/>
        <v>#N/A</v>
      </c>
      <c r="AD546" s="323" t="e">
        <f t="shared" ca="1" si="258"/>
        <v>#N/A</v>
      </c>
      <c r="AE546" s="324">
        <f t="shared" ca="1" si="237"/>
        <v>1738.4460976679284</v>
      </c>
      <c r="AG546" s="306">
        <f t="shared" ca="1" si="259"/>
        <v>-0.85514004114042175</v>
      </c>
      <c r="AH546" s="304">
        <f t="shared" ca="1" si="260"/>
        <v>-7.7438145427149621E-2</v>
      </c>
    </row>
    <row r="547" spans="1:34" x14ac:dyDescent="0.2">
      <c r="A547" s="347">
        <f t="shared" ca="1" si="238"/>
        <v>0.1</v>
      </c>
      <c r="B547" s="304">
        <f t="shared" ca="1" si="239"/>
        <v>18.299999999999947</v>
      </c>
      <c r="D547" s="306">
        <f t="shared" ca="1" si="240"/>
        <v>-7.6872238657982858E-2</v>
      </c>
      <c r="E547" s="307">
        <f t="shared" ca="1" si="241"/>
        <v>-9.8108284771423122</v>
      </c>
      <c r="F547" s="304">
        <f t="shared" ca="1" si="242"/>
        <v>9.8111296367433063</v>
      </c>
      <c r="G547" s="306">
        <f t="shared" ca="1" si="243"/>
        <v>14.261525456037205</v>
      </c>
      <c r="H547" s="307">
        <f t="shared" ca="1" si="244"/>
        <v>-0.82729889722114325</v>
      </c>
      <c r="I547" s="304">
        <f t="shared" ca="1" si="245"/>
        <v>14.285500754210211</v>
      </c>
      <c r="J547" s="306">
        <f t="shared" ca="1" si="246"/>
        <v>302.68463876422726</v>
      </c>
      <c r="K547" s="307">
        <f t="shared" ca="1" si="247"/>
        <v>1738.4124219205919</v>
      </c>
      <c r="L547" s="304">
        <f t="shared" ca="1" si="232"/>
        <v>1764.5667284723604</v>
      </c>
      <c r="M547" s="306">
        <f t="shared" ca="1" si="248"/>
        <v>-5.7944207896511668E-2</v>
      </c>
      <c r="N547" s="304">
        <f t="shared" ca="1" si="249"/>
        <v>-3.319958559698736</v>
      </c>
      <c r="P547" s="310">
        <f t="shared" ca="1" si="250"/>
        <v>23</v>
      </c>
      <c r="Q547" s="304">
        <f t="shared" ca="1" si="251"/>
        <v>0</v>
      </c>
      <c r="R547" s="306">
        <f t="shared" ca="1" si="252"/>
        <v>0</v>
      </c>
      <c r="S547" s="307">
        <f t="shared" ca="1" si="253"/>
        <v>6.8519999999999914</v>
      </c>
      <c r="T547" s="304">
        <f t="shared" ca="1" si="233"/>
        <v>67.218119999999914</v>
      </c>
      <c r="U547" s="311">
        <f t="shared" ca="1" si="234"/>
        <v>0</v>
      </c>
      <c r="V547" s="306">
        <f t="shared" ca="1" si="235"/>
        <v>1.0290744489045278</v>
      </c>
      <c r="W547" s="304">
        <f t="shared" ca="1" si="236"/>
        <v>0.52790290394436912</v>
      </c>
      <c r="Y547" s="314" t="str">
        <f t="shared" ca="1" si="254"/>
        <v/>
      </c>
      <c r="Z547" s="315" t="str">
        <f t="shared" ca="1" si="255"/>
        <v/>
      </c>
      <c r="AA547" s="316" t="str">
        <f t="shared" ca="1" si="256"/>
        <v/>
      </c>
      <c r="AC547" s="310" t="e">
        <f t="shared" ca="1" si="257"/>
        <v>#N/A</v>
      </c>
      <c r="AD547" s="323" t="e">
        <f t="shared" ca="1" si="258"/>
        <v>#N/A</v>
      </c>
      <c r="AE547" s="324">
        <f t="shared" ca="1" si="237"/>
        <v>1738.4124219205919</v>
      </c>
      <c r="AG547" s="306">
        <f t="shared" ca="1" si="259"/>
        <v>-0.18259612710952905</v>
      </c>
      <c r="AH547" s="304">
        <f t="shared" ca="1" si="260"/>
        <v>-7.6876702912294606E-2</v>
      </c>
    </row>
    <row r="548" spans="1:34" x14ac:dyDescent="0.2">
      <c r="A548" s="347">
        <f t="shared" ca="1" si="238"/>
        <v>0.1</v>
      </c>
      <c r="B548" s="304">
        <f t="shared" ca="1" si="239"/>
        <v>18.399999999999949</v>
      </c>
      <c r="D548" s="306">
        <f t="shared" ca="1" si="240"/>
        <v>-7.691432087485299E-2</v>
      </c>
      <c r="E548" s="307">
        <f t="shared" ca="1" si="241"/>
        <v>-9.8055382660125368</v>
      </c>
      <c r="F548" s="304">
        <f t="shared" ca="1" si="242"/>
        <v>9.8058399180790108</v>
      </c>
      <c r="G548" s="306">
        <f t="shared" ca="1" si="243"/>
        <v>14.25383402394972</v>
      </c>
      <c r="H548" s="307">
        <f t="shared" ca="1" si="244"/>
        <v>-1.8078527238223969</v>
      </c>
      <c r="I548" s="304">
        <f t="shared" ca="1" si="245"/>
        <v>14.36802407616784</v>
      </c>
      <c r="J548" s="306">
        <f t="shared" ca="1" si="246"/>
        <v>304.11040673822663</v>
      </c>
      <c r="K548" s="307">
        <f t="shared" ca="1" si="247"/>
        <v>1738.2806643395397</v>
      </c>
      <c r="L548" s="304">
        <f t="shared" ca="1" si="232"/>
        <v>1764.6820698083839</v>
      </c>
      <c r="M548" s="306">
        <f t="shared" ca="1" si="248"/>
        <v>-0.12615912266423146</v>
      </c>
      <c r="N548" s="304">
        <f t="shared" ca="1" si="249"/>
        <v>-7.2283852757337126</v>
      </c>
      <c r="P548" s="310">
        <f t="shared" ca="1" si="250"/>
        <v>23</v>
      </c>
      <c r="Q548" s="304">
        <f t="shared" ca="1" si="251"/>
        <v>0</v>
      </c>
      <c r="R548" s="306">
        <f t="shared" ca="1" si="252"/>
        <v>0</v>
      </c>
      <c r="S548" s="307">
        <f t="shared" ca="1" si="253"/>
        <v>6.8519999999999914</v>
      </c>
      <c r="T548" s="304">
        <f t="shared" ca="1" si="233"/>
        <v>67.218119999999914</v>
      </c>
      <c r="U548" s="311">
        <f t="shared" ca="1" si="234"/>
        <v>0</v>
      </c>
      <c r="V548" s="306">
        <f t="shared" ca="1" si="235"/>
        <v>1.0290881110428307</v>
      </c>
      <c r="W548" s="304">
        <f t="shared" ca="1" si="236"/>
        <v>0.53402670338537506</v>
      </c>
      <c r="Y548" s="314" t="str">
        <f t="shared" ca="1" si="254"/>
        <v/>
      </c>
      <c r="Z548" s="315" t="str">
        <f t="shared" ca="1" si="255"/>
        <v/>
      </c>
      <c r="AA548" s="316" t="str">
        <f t="shared" ca="1" si="256"/>
        <v/>
      </c>
      <c r="AC548" s="310" t="e">
        <f t="shared" ca="1" si="257"/>
        <v>#N/A</v>
      </c>
      <c r="AD548" s="323" t="e">
        <f t="shared" ca="1" si="258"/>
        <v>#N/A</v>
      </c>
      <c r="AE548" s="324">
        <f t="shared" ca="1" si="237"/>
        <v>1738.2806643395397</v>
      </c>
      <c r="AG548" s="306">
        <f t="shared" ca="1" si="259"/>
        <v>0.4910710215722644</v>
      </c>
      <c r="AH548" s="304">
        <f t="shared" ca="1" si="260"/>
        <v>-7.7043622875710704E-2</v>
      </c>
    </row>
    <row r="549" spans="1:34" x14ac:dyDescent="0.2">
      <c r="A549" s="347">
        <f t="shared" ca="1" si="238"/>
        <v>0.1</v>
      </c>
      <c r="B549" s="304">
        <f t="shared" ca="1" si="239"/>
        <v>18.49999999999995</v>
      </c>
      <c r="D549" s="306">
        <f t="shared" ca="1" si="240"/>
        <v>-7.7317939205719721E-2</v>
      </c>
      <c r="E549" s="307">
        <f t="shared" ca="1" si="241"/>
        <v>-9.8001935544669223</v>
      </c>
      <c r="F549" s="304">
        <f t="shared" ca="1" si="242"/>
        <v>9.8004985469484165</v>
      </c>
      <c r="G549" s="306">
        <f t="shared" ca="1" si="243"/>
        <v>14.246102230029148</v>
      </c>
      <c r="H549" s="307">
        <f t="shared" ca="1" si="244"/>
        <v>-2.7878720792690892</v>
      </c>
      <c r="I549" s="304">
        <f t="shared" ca="1" si="245"/>
        <v>14.516323896868988</v>
      </c>
      <c r="J549" s="306">
        <f t="shared" ca="1" si="246"/>
        <v>305.53540355092559</v>
      </c>
      <c r="K549" s="307">
        <f t="shared" ca="1" si="247"/>
        <v>1738.050878099385</v>
      </c>
      <c r="L549" s="304">
        <f t="shared" ca="1" si="232"/>
        <v>1764.7018835160432</v>
      </c>
      <c r="M549" s="306">
        <f t="shared" ca="1" si="248"/>
        <v>-0.19325145315175088</v>
      </c>
      <c r="N549" s="304">
        <f t="shared" ca="1" si="249"/>
        <v>-11.072492650365476</v>
      </c>
      <c r="P549" s="310">
        <f t="shared" ca="1" si="250"/>
        <v>23</v>
      </c>
      <c r="Q549" s="304">
        <f t="shared" ca="1" si="251"/>
        <v>0</v>
      </c>
      <c r="R549" s="306">
        <f t="shared" ca="1" si="252"/>
        <v>0</v>
      </c>
      <c r="S549" s="307">
        <f t="shared" ca="1" si="253"/>
        <v>6.8519999999999914</v>
      </c>
      <c r="T549" s="304">
        <f t="shared" ca="1" si="233"/>
        <v>67.218119999999914</v>
      </c>
      <c r="U549" s="311">
        <f t="shared" ca="1" si="234"/>
        <v>0</v>
      </c>
      <c r="V549" s="306">
        <f t="shared" ca="1" si="235"/>
        <v>1.0291119383139562</v>
      </c>
      <c r="W549" s="304">
        <f t="shared" ca="1" si="236"/>
        <v>0.54512014912046813</v>
      </c>
      <c r="Y549" s="314" t="str">
        <f t="shared" ca="1" si="254"/>
        <v/>
      </c>
      <c r="Z549" s="315" t="str">
        <f t="shared" ca="1" si="255"/>
        <v/>
      </c>
      <c r="AA549" s="316" t="str">
        <f t="shared" ca="1" si="256"/>
        <v/>
      </c>
      <c r="AC549" s="310" t="e">
        <f t="shared" ca="1" si="257"/>
        <v>#N/A</v>
      </c>
      <c r="AD549" s="323" t="e">
        <f t="shared" ca="1" si="258"/>
        <v>#N/A</v>
      </c>
      <c r="AE549" s="324">
        <f t="shared" ca="1" si="237"/>
        <v>1738.050878099385</v>
      </c>
      <c r="AG549" s="306">
        <f t="shared" ca="1" si="259"/>
        <v>1.1564032361608545</v>
      </c>
      <c r="AH549" s="304">
        <f t="shared" ca="1" si="260"/>
        <v>-7.7937347254141226E-2</v>
      </c>
    </row>
    <row r="550" spans="1:34" x14ac:dyDescent="0.2">
      <c r="A550" s="347">
        <f t="shared" ca="1" si="238"/>
        <v>0.1</v>
      </c>
      <c r="B550" s="304">
        <f t="shared" ca="1" si="239"/>
        <v>18.599999999999952</v>
      </c>
      <c r="D550" s="306">
        <f t="shared" ca="1" si="240"/>
        <v>-7.8075412488736257E-2</v>
      </c>
      <c r="E550" s="307">
        <f t="shared" ca="1" si="241"/>
        <v>-9.7947211357155677</v>
      </c>
      <c r="F550" s="304">
        <f t="shared" ca="1" si="242"/>
        <v>9.7950323070660943</v>
      </c>
      <c r="G550" s="306">
        <f t="shared" ca="1" si="243"/>
        <v>14.238294688780275</v>
      </c>
      <c r="H550" s="307">
        <f t="shared" ca="1" si="244"/>
        <v>-3.7673441928406461</v>
      </c>
      <c r="I550" s="304">
        <f t="shared" ca="1" si="245"/>
        <v>14.728269345441735</v>
      </c>
      <c r="J550" s="306">
        <f t="shared" ca="1" si="246"/>
        <v>306.95962339686605</v>
      </c>
      <c r="K550" s="307">
        <f t="shared" ca="1" si="247"/>
        <v>1737.7231172857796</v>
      </c>
      <c r="L550" s="304">
        <f t="shared" ca="1" si="232"/>
        <v>1764.6262614914674</v>
      </c>
      <c r="M550" s="306">
        <f t="shared" ca="1" si="248"/>
        <v>-0.25866481323555668</v>
      </c>
      <c r="N550" s="304">
        <f t="shared" ca="1" si="249"/>
        <v>-14.820402106937074</v>
      </c>
      <c r="P550" s="310">
        <f t="shared" ca="1" si="250"/>
        <v>23</v>
      </c>
      <c r="Q550" s="304">
        <f t="shared" ca="1" si="251"/>
        <v>0</v>
      </c>
      <c r="R550" s="306">
        <f t="shared" ca="1" si="252"/>
        <v>0</v>
      </c>
      <c r="S550" s="307">
        <f t="shared" ca="1" si="253"/>
        <v>6.8519999999999914</v>
      </c>
      <c r="T550" s="304">
        <f t="shared" ca="1" si="233"/>
        <v>67.218119999999914</v>
      </c>
      <c r="U550" s="311">
        <f t="shared" ca="1" si="234"/>
        <v>0</v>
      </c>
      <c r="V550" s="306">
        <f t="shared" ca="1" si="235"/>
        <v>1.0291459257540791</v>
      </c>
      <c r="W550" s="304">
        <f t="shared" ca="1" si="236"/>
        <v>0.56117293049151151</v>
      </c>
      <c r="Y550" s="314" t="str">
        <f t="shared" ca="1" si="254"/>
        <v/>
      </c>
      <c r="Z550" s="315" t="str">
        <f t="shared" ca="1" si="255"/>
        <v/>
      </c>
      <c r="AA550" s="316" t="str">
        <f t="shared" ca="1" si="256"/>
        <v/>
      </c>
      <c r="AC550" s="310" t="e">
        <f t="shared" ca="1" si="257"/>
        <v>#N/A</v>
      </c>
      <c r="AD550" s="323" t="e">
        <f t="shared" ca="1" si="258"/>
        <v>#N/A</v>
      </c>
      <c r="AE550" s="324">
        <f t="shared" ca="1" si="237"/>
        <v>1737.7231172857796</v>
      </c>
      <c r="AG550" s="306">
        <f t="shared" ca="1" si="259"/>
        <v>1.8044623044110926</v>
      </c>
      <c r="AH550" s="304">
        <f t="shared" ca="1" si="260"/>
        <v>-7.9556355680161825E-2</v>
      </c>
    </row>
    <row r="551" spans="1:34" x14ac:dyDescent="0.2">
      <c r="A551" s="347">
        <f t="shared" ca="1" si="238"/>
        <v>0.1</v>
      </c>
      <c r="B551" s="304">
        <f t="shared" ca="1" si="239"/>
        <v>18.699999999999953</v>
      </c>
      <c r="D551" s="306">
        <f t="shared" ca="1" si="240"/>
        <v>-7.9174552757045186E-2</v>
      </c>
      <c r="E551" s="307">
        <f t="shared" ca="1" si="241"/>
        <v>-9.7890510171288252</v>
      </c>
      <c r="F551" s="304">
        <f t="shared" ca="1" si="242"/>
        <v>9.7893711966476769</v>
      </c>
      <c r="G551" s="306">
        <f t="shared" ca="1" si="243"/>
        <v>14.230377233504571</v>
      </c>
      <c r="H551" s="307">
        <f t="shared" ca="1" si="244"/>
        <v>-4.7462492945535288</v>
      </c>
      <c r="I551" s="304">
        <f t="shared" ca="1" si="245"/>
        <v>15.001017251303162</v>
      </c>
      <c r="J551" s="306">
        <f t="shared" ca="1" si="246"/>
        <v>308.3830569929803</v>
      </c>
      <c r="K551" s="307">
        <f t="shared" ca="1" si="247"/>
        <v>1737.2974376114098</v>
      </c>
      <c r="L551" s="304">
        <f t="shared" ca="1" si="232"/>
        <v>1764.4552974137673</v>
      </c>
      <c r="M551" s="306">
        <f t="shared" ca="1" si="248"/>
        <v>-0.32192701123075801</v>
      </c>
      <c r="N551" s="304">
        <f t="shared" ca="1" si="249"/>
        <v>-18.445059054783087</v>
      </c>
      <c r="P551" s="310">
        <f t="shared" ca="1" si="250"/>
        <v>23</v>
      </c>
      <c r="Q551" s="304">
        <f t="shared" ca="1" si="251"/>
        <v>0</v>
      </c>
      <c r="R551" s="306">
        <f t="shared" ca="1" si="252"/>
        <v>0</v>
      </c>
      <c r="S551" s="307">
        <f t="shared" ca="1" si="253"/>
        <v>6.8519999999999914</v>
      </c>
      <c r="T551" s="304">
        <f t="shared" ca="1" si="233"/>
        <v>67.218119999999914</v>
      </c>
      <c r="U551" s="311">
        <f t="shared" ca="1" si="234"/>
        <v>0</v>
      </c>
      <c r="V551" s="306">
        <f t="shared" ca="1" si="235"/>
        <v>1.02919006850487</v>
      </c>
      <c r="W551" s="304">
        <f t="shared" ca="1" si="236"/>
        <v>0.5821746981425483</v>
      </c>
      <c r="Y551" s="314" t="str">
        <f t="shared" ca="1" si="254"/>
        <v/>
      </c>
      <c r="Z551" s="315" t="str">
        <f t="shared" ca="1" si="255"/>
        <v/>
      </c>
      <c r="AA551" s="316" t="str">
        <f t="shared" ca="1" si="256"/>
        <v/>
      </c>
      <c r="AC551" s="310" t="e">
        <f t="shared" ca="1" si="257"/>
        <v>#N/A</v>
      </c>
      <c r="AD551" s="323" t="e">
        <f t="shared" ca="1" si="258"/>
        <v>#N/A</v>
      </c>
      <c r="AE551" s="324">
        <f t="shared" ca="1" si="237"/>
        <v>1737.2974376114098</v>
      </c>
      <c r="AG551" s="306">
        <f t="shared" ca="1" si="259"/>
        <v>2.4274008744862234</v>
      </c>
      <c r="AH551" s="304">
        <f t="shared" ca="1" si="260"/>
        <v>-8.1899143387552858E-2</v>
      </c>
    </row>
    <row r="552" spans="1:34" x14ac:dyDescent="0.2">
      <c r="A552" s="347">
        <f t="shared" ca="1" si="238"/>
        <v>0.1</v>
      </c>
      <c r="B552" s="304">
        <f t="shared" ca="1" si="239"/>
        <v>18.799999999999955</v>
      </c>
      <c r="D552" s="306">
        <f t="shared" ca="1" si="240"/>
        <v>-8.0599375132590786E-2</v>
      </c>
      <c r="E552" s="307">
        <f t="shared" ca="1" si="241"/>
        <v>-9.7831177381254637</v>
      </c>
      <c r="F552" s="304">
        <f t="shared" ca="1" si="242"/>
        <v>9.78344974624477</v>
      </c>
      <c r="G552" s="306">
        <f t="shared" ca="1" si="243"/>
        <v>14.222317295991312</v>
      </c>
      <c r="H552" s="307">
        <f t="shared" ca="1" si="244"/>
        <v>-5.724561068366075</v>
      </c>
      <c r="I552" s="304">
        <f t="shared" ca="1" si="245"/>
        <v>15.331174406851751</v>
      </c>
      <c r="J552" s="306">
        <f t="shared" ca="1" si="246"/>
        <v>309.80569171945507</v>
      </c>
      <c r="K552" s="307">
        <f t="shared" ca="1" si="247"/>
        <v>1736.7738970932637</v>
      </c>
      <c r="L552" s="304">
        <f t="shared" ca="1" si="232"/>
        <v>1764.189087441109</v>
      </c>
      <c r="M552" s="306">
        <f t="shared" ca="1" si="248"/>
        <v>-0.3826644311824039</v>
      </c>
      <c r="N552" s="304">
        <f t="shared" ca="1" si="249"/>
        <v>-21.925056876526078</v>
      </c>
      <c r="P552" s="310">
        <f t="shared" ca="1" si="250"/>
        <v>23</v>
      </c>
      <c r="Q552" s="304">
        <f t="shared" ca="1" si="251"/>
        <v>0</v>
      </c>
      <c r="R552" s="306">
        <f t="shared" ca="1" si="252"/>
        <v>0</v>
      </c>
      <c r="S552" s="307">
        <f t="shared" ca="1" si="253"/>
        <v>6.8519999999999914</v>
      </c>
      <c r="T552" s="304">
        <f t="shared" ca="1" si="233"/>
        <v>67.218119999999914</v>
      </c>
      <c r="U552" s="311">
        <f t="shared" ca="1" si="234"/>
        <v>0</v>
      </c>
      <c r="V552" s="306">
        <f t="shared" ca="1" si="235"/>
        <v>1.0292443617427744</v>
      </c>
      <c r="W552" s="304">
        <f t="shared" ca="1" si="236"/>
        <v>0.60811492706947301</v>
      </c>
      <c r="Y552" s="314" t="str">
        <f t="shared" ca="1" si="254"/>
        <v/>
      </c>
      <c r="Z552" s="315" t="str">
        <f t="shared" ca="1" si="255"/>
        <v/>
      </c>
      <c r="AA552" s="316" t="str">
        <f t="shared" ca="1" si="256"/>
        <v/>
      </c>
      <c r="AC552" s="310" t="e">
        <f t="shared" ca="1" si="257"/>
        <v>#N/A</v>
      </c>
      <c r="AD552" s="323" t="e">
        <f t="shared" ca="1" si="258"/>
        <v>#N/A</v>
      </c>
      <c r="AE552" s="324">
        <f t="shared" ca="1" si="237"/>
        <v>1736.7738970932637</v>
      </c>
      <c r="AG552" s="306">
        <f t="shared" ca="1" si="259"/>
        <v>3.0188723465574641</v>
      </c>
      <c r="AH552" s="304">
        <f t="shared" ca="1" si="260"/>
        <v>-8.4964199962426892E-2</v>
      </c>
    </row>
    <row r="553" spans="1:34" x14ac:dyDescent="0.2">
      <c r="A553" s="347">
        <f t="shared" ca="1" si="238"/>
        <v>0.1</v>
      </c>
      <c r="B553" s="304">
        <f t="shared" ca="1" si="239"/>
        <v>18.899999999999956</v>
      </c>
      <c r="D553" s="306">
        <f t="shared" ca="1" si="240"/>
        <v>-8.2330973162581672E-2</v>
      </c>
      <c r="E553" s="307">
        <f t="shared" ca="1" si="241"/>
        <v>-9.776861329706092</v>
      </c>
      <c r="F553" s="304">
        <f t="shared" ca="1" si="242"/>
        <v>9.7772079782238581</v>
      </c>
      <c r="G553" s="306">
        <f t="shared" ca="1" si="243"/>
        <v>14.214084198675053</v>
      </c>
      <c r="H553" s="307">
        <f t="shared" ca="1" si="244"/>
        <v>-6.7022472013366841</v>
      </c>
      <c r="I553" s="304">
        <f t="shared" ca="1" si="245"/>
        <v>15.714970797136379</v>
      </c>
      <c r="J553" s="306">
        <f t="shared" ca="1" si="246"/>
        <v>311.22751179418839</v>
      </c>
      <c r="K553" s="307">
        <f t="shared" ca="1" si="247"/>
        <v>1736.1525566797786</v>
      </c>
      <c r="L553" s="304">
        <f t="shared" ca="1" si="232"/>
        <v>1763.8277308635709</v>
      </c>
      <c r="M553" s="306">
        <f t="shared" ca="1" si="248"/>
        <v>-0.44060642068261513</v>
      </c>
      <c r="N553" s="304">
        <f t="shared" ca="1" si="249"/>
        <v>-25.244888331479512</v>
      </c>
      <c r="P553" s="310">
        <f t="shared" ca="1" si="250"/>
        <v>23</v>
      </c>
      <c r="Q553" s="304">
        <f t="shared" ca="1" si="251"/>
        <v>0</v>
      </c>
      <c r="R553" s="306">
        <f t="shared" ca="1" si="252"/>
        <v>0</v>
      </c>
      <c r="S553" s="307">
        <f t="shared" ca="1" si="253"/>
        <v>6.8519999999999914</v>
      </c>
      <c r="T553" s="304">
        <f t="shared" ca="1" si="233"/>
        <v>67.218119999999914</v>
      </c>
      <c r="U553" s="311">
        <f t="shared" ca="1" si="234"/>
        <v>0</v>
      </c>
      <c r="V553" s="306">
        <f t="shared" ca="1" si="235"/>
        <v>1.0293088006134608</v>
      </c>
      <c r="W553" s="304">
        <f t="shared" ca="1" si="236"/>
        <v>0.6389827905046761</v>
      </c>
      <c r="Y553" s="314" t="str">
        <f t="shared" ca="1" si="254"/>
        <v/>
      </c>
      <c r="Z553" s="315" t="str">
        <f t="shared" ca="1" si="255"/>
        <v/>
      </c>
      <c r="AA553" s="316" t="str">
        <f t="shared" ca="1" si="256"/>
        <v/>
      </c>
      <c r="AC553" s="310" t="e">
        <f t="shared" ca="1" si="257"/>
        <v>#N/A</v>
      </c>
      <c r="AD553" s="323" t="e">
        <f t="shared" ca="1" si="258"/>
        <v>#N/A</v>
      </c>
      <c r="AE553" s="324">
        <f t="shared" ca="1" si="237"/>
        <v>1736.1525566797786</v>
      </c>
      <c r="AG553" s="306">
        <f t="shared" ca="1" si="259"/>
        <v>3.5742403720065621</v>
      </c>
      <c r="AH553" s="304">
        <f t="shared" ca="1" si="260"/>
        <v>-8.8749989356315492E-2</v>
      </c>
    </row>
    <row r="554" spans="1:34" x14ac:dyDescent="0.2">
      <c r="A554" s="347">
        <f t="shared" ca="1" si="238"/>
        <v>0.1</v>
      </c>
      <c r="B554" s="304">
        <f t="shared" ca="1" si="239"/>
        <v>18.999999999999957</v>
      </c>
      <c r="D554" s="306">
        <f t="shared" ca="1" si="240"/>
        <v>-8.434845123909776E-2</v>
      </c>
      <c r="E554" s="307">
        <f t="shared" ca="1" si="241"/>
        <v>-9.7702278864151513</v>
      </c>
      <c r="F554" s="304">
        <f t="shared" ca="1" si="242"/>
        <v>9.7705919786730782</v>
      </c>
      <c r="G554" s="306">
        <f t="shared" ca="1" si="243"/>
        <v>14.205649353551143</v>
      </c>
      <c r="H554" s="307">
        <f t="shared" ca="1" si="244"/>
        <v>-7.6792699899781995</v>
      </c>
      <c r="I554" s="304">
        <f t="shared" ca="1" si="245"/>
        <v>16.148425964626639</v>
      </c>
      <c r="J554" s="306">
        <f t="shared" ca="1" si="246"/>
        <v>312.64849847179971</v>
      </c>
      <c r="K554" s="307">
        <f t="shared" ca="1" si="247"/>
        <v>1735.4334808202129</v>
      </c>
      <c r="L554" s="304">
        <f t="shared" ca="1" si="232"/>
        <v>1763.3713307038968</v>
      </c>
      <c r="M554" s="306">
        <f t="shared" ca="1" si="248"/>
        <v>-0.49558112390150122</v>
      </c>
      <c r="N554" s="304">
        <f t="shared" ca="1" si="249"/>
        <v>-28.394706805905948</v>
      </c>
      <c r="P554" s="310">
        <f t="shared" ca="1" si="250"/>
        <v>23</v>
      </c>
      <c r="Q554" s="304">
        <f t="shared" ca="1" si="251"/>
        <v>0</v>
      </c>
      <c r="R554" s="306">
        <f t="shared" ca="1" si="252"/>
        <v>0</v>
      </c>
      <c r="S554" s="307">
        <f t="shared" ca="1" si="253"/>
        <v>6.8519999999999914</v>
      </c>
      <c r="T554" s="304">
        <f t="shared" ca="1" si="233"/>
        <v>67.218119999999914</v>
      </c>
      <c r="U554" s="311">
        <f t="shared" ca="1" si="234"/>
        <v>0</v>
      </c>
      <c r="V554" s="306">
        <f t="shared" ca="1" si="235"/>
        <v>1.0293833801722241</v>
      </c>
      <c r="W554" s="304">
        <f t="shared" ca="1" si="236"/>
        <v>0.67476704605731552</v>
      </c>
      <c r="Y554" s="314" t="str">
        <f t="shared" ca="1" si="254"/>
        <v/>
      </c>
      <c r="Z554" s="315" t="str">
        <f t="shared" ca="1" si="255"/>
        <v/>
      </c>
      <c r="AA554" s="316" t="str">
        <f t="shared" ca="1" si="256"/>
        <v/>
      </c>
      <c r="AC554" s="310">
        <f t="shared" ca="1" si="257"/>
        <v>18.999999999999957</v>
      </c>
      <c r="AD554" s="323">
        <f t="shared" ca="1" si="258"/>
        <v>312.64849847179971</v>
      </c>
      <c r="AE554" s="324">
        <f t="shared" ca="1" si="237"/>
        <v>1735.4334808202129</v>
      </c>
      <c r="AG554" s="306">
        <f t="shared" ca="1" si="259"/>
        <v>4.0905928079688882</v>
      </c>
      <c r="AH554" s="304">
        <f t="shared" ca="1" si="260"/>
        <v>-9.3254931480542452E-2</v>
      </c>
    </row>
    <row r="555" spans="1:34" x14ac:dyDescent="0.2">
      <c r="A555" s="347">
        <f t="shared" ca="1" si="238"/>
        <v>0.1</v>
      </c>
      <c r="B555" s="304">
        <f t="shared" ca="1" si="239"/>
        <v>19.099999999999959</v>
      </c>
      <c r="D555" s="306">
        <f t="shared" ca="1" si="240"/>
        <v>-8.6629818410739107E-2</v>
      </c>
      <c r="E555" s="307">
        <f t="shared" ca="1" si="241"/>
        <v>-9.7631697743480803</v>
      </c>
      <c r="F555" s="304">
        <f t="shared" ca="1" si="242"/>
        <v>9.763554105354352</v>
      </c>
      <c r="G555" s="306">
        <f t="shared" ca="1" si="243"/>
        <v>14.19698637171007</v>
      </c>
      <c r="H555" s="307">
        <f t="shared" ca="1" si="244"/>
        <v>-8.6555869674130079</v>
      </c>
      <c r="I555" s="304">
        <f t="shared" ca="1" si="245"/>
        <v>16.627495535677383</v>
      </c>
      <c r="J555" s="306">
        <f t="shared" ca="1" si="246"/>
        <v>314.0686302580628</v>
      </c>
      <c r="K555" s="307">
        <f t="shared" ca="1" si="247"/>
        <v>1734.6167379723433</v>
      </c>
      <c r="L555" s="304">
        <f t="shared" ca="1" si="232"/>
        <v>1762.8199942608969</v>
      </c>
      <c r="M555" s="306">
        <f t="shared" ca="1" si="248"/>
        <v>-0.54750513442011073</v>
      </c>
      <c r="N555" s="304">
        <f t="shared" ca="1" si="249"/>
        <v>-31.369733464015162</v>
      </c>
      <c r="P555" s="310">
        <f t="shared" ca="1" si="250"/>
        <v>23</v>
      </c>
      <c r="Q555" s="304">
        <f t="shared" ca="1" si="251"/>
        <v>0</v>
      </c>
      <c r="R555" s="306">
        <f t="shared" ca="1" si="252"/>
        <v>0</v>
      </c>
      <c r="S555" s="307">
        <f t="shared" ca="1" si="253"/>
        <v>6.8519999999999914</v>
      </c>
      <c r="T555" s="304">
        <f t="shared" ca="1" si="233"/>
        <v>67.218119999999914</v>
      </c>
      <c r="U555" s="311">
        <f t="shared" ca="1" si="234"/>
        <v>0</v>
      </c>
      <c r="V555" s="306">
        <f t="shared" ca="1" si="235"/>
        <v>1.0294680953307338</v>
      </c>
      <c r="W555" s="304">
        <f t="shared" ca="1" si="236"/>
        <v>0.71545593477204283</v>
      </c>
      <c r="Y555" s="314" t="str">
        <f t="shared" ca="1" si="254"/>
        <v/>
      </c>
      <c r="Z555" s="315" t="str">
        <f t="shared" ca="1" si="255"/>
        <v/>
      </c>
      <c r="AA555" s="316" t="str">
        <f t="shared" ca="1" si="256"/>
        <v/>
      </c>
      <c r="AC555" s="310" t="e">
        <f t="shared" ca="1" si="257"/>
        <v>#N/A</v>
      </c>
      <c r="AD555" s="323" t="e">
        <f t="shared" ca="1" si="258"/>
        <v>#N/A</v>
      </c>
      <c r="AE555" s="324">
        <f t="shared" ca="1" si="237"/>
        <v>1734.6167379723433</v>
      </c>
      <c r="AG555" s="306">
        <f t="shared" ca="1" si="259"/>
        <v>4.5665988742707571</v>
      </c>
      <c r="AH555" s="304">
        <f t="shared" ca="1" si="260"/>
        <v>-9.8477385589217217E-2</v>
      </c>
    </row>
    <row r="556" spans="1:34" x14ac:dyDescent="0.2">
      <c r="A556" s="347">
        <f t="shared" ca="1" si="238"/>
        <v>0.1</v>
      </c>
      <c r="B556" s="304">
        <f t="shared" ca="1" si="239"/>
        <v>19.19999999999996</v>
      </c>
      <c r="D556" s="306">
        <f t="shared" ca="1" si="240"/>
        <v>-8.9152774191504303E-2</v>
      </c>
      <c r="E556" s="307">
        <f t="shared" ca="1" si="241"/>
        <v>-9.7556455355949083</v>
      </c>
      <c r="F556" s="304">
        <f t="shared" ca="1" si="242"/>
        <v>9.7560528920931393</v>
      </c>
      <c r="G556" s="306">
        <f t="shared" ca="1" si="243"/>
        <v>14.188071094290919</v>
      </c>
      <c r="H556" s="307">
        <f t="shared" ca="1" si="244"/>
        <v>-9.631151520972498</v>
      </c>
      <c r="I556" s="304">
        <f t="shared" ca="1" si="245"/>
        <v>17.148190604159506</v>
      </c>
      <c r="J556" s="306">
        <f t="shared" ca="1" si="246"/>
        <v>315.48788313136282</v>
      </c>
      <c r="K556" s="307">
        <f t="shared" ca="1" si="247"/>
        <v>1733.702401047924</v>
      </c>
      <c r="L556" s="304">
        <f t="shared" ca="1" si="232"/>
        <v>1762.1738335936229</v>
      </c>
      <c r="M556" s="306">
        <f t="shared" ca="1" si="248"/>
        <v>-0.59636956861942869</v>
      </c>
      <c r="N556" s="304">
        <f t="shared" ca="1" si="249"/>
        <v>-34.169459311930808</v>
      </c>
      <c r="P556" s="310">
        <f t="shared" ca="1" si="250"/>
        <v>23</v>
      </c>
      <c r="Q556" s="304">
        <f t="shared" ca="1" si="251"/>
        <v>0</v>
      </c>
      <c r="R556" s="306">
        <f t="shared" ca="1" si="252"/>
        <v>0</v>
      </c>
      <c r="S556" s="307">
        <f t="shared" ca="1" si="253"/>
        <v>6.8519999999999914</v>
      </c>
      <c r="T556" s="304">
        <f t="shared" ca="1" si="233"/>
        <v>67.218119999999914</v>
      </c>
      <c r="U556" s="311">
        <f t="shared" ca="1" si="234"/>
        <v>0</v>
      </c>
      <c r="V556" s="306">
        <f t="shared" ca="1" si="235"/>
        <v>1.0295629408101856</v>
      </c>
      <c r="W556" s="304">
        <f t="shared" ca="1" si="236"/>
        <v>0.76103709310807133</v>
      </c>
      <c r="Y556" s="314" t="str">
        <f t="shared" ca="1" si="254"/>
        <v/>
      </c>
      <c r="Z556" s="315" t="str">
        <f t="shared" ca="1" si="255"/>
        <v/>
      </c>
      <c r="AA556" s="316" t="str">
        <f t="shared" ca="1" si="256"/>
        <v/>
      </c>
      <c r="AC556" s="310" t="e">
        <f t="shared" ca="1" si="257"/>
        <v>#N/A</v>
      </c>
      <c r="AD556" s="323" t="e">
        <f t="shared" ca="1" si="258"/>
        <v>#N/A</v>
      </c>
      <c r="AE556" s="324">
        <f t="shared" ca="1" si="237"/>
        <v>1733.702401047924</v>
      </c>
      <c r="AG556" s="306">
        <f t="shared" ca="1" si="259"/>
        <v>5.0022649206509486</v>
      </c>
      <c r="AH556" s="304">
        <f t="shared" ca="1" si="260"/>
        <v>-0.10441563554758373</v>
      </c>
    </row>
    <row r="557" spans="1:34" x14ac:dyDescent="0.2">
      <c r="A557" s="347">
        <f t="shared" ca="1" si="238"/>
        <v>0.1</v>
      </c>
      <c r="B557" s="304">
        <f t="shared" ca="1" si="239"/>
        <v>19.299999999999962</v>
      </c>
      <c r="D557" s="306">
        <f t="shared" ca="1" si="240"/>
        <v>-9.1895347523550816E-2</v>
      </c>
      <c r="E557" s="307">
        <f t="shared" ca="1" si="241"/>
        <v>-9.747619567156816</v>
      </c>
      <c r="F557" s="304">
        <f t="shared" ca="1" si="242"/>
        <v>9.7480527276433477</v>
      </c>
      <c r="G557" s="306">
        <f t="shared" ca="1" si="243"/>
        <v>14.178881559538564</v>
      </c>
      <c r="H557" s="307">
        <f t="shared" ca="1" si="244"/>
        <v>-10.60591347768818</v>
      </c>
      <c r="I557" s="304">
        <f t="shared" ca="1" si="245"/>
        <v>17.706667754708409</v>
      </c>
      <c r="J557" s="306">
        <f t="shared" ca="1" si="246"/>
        <v>316.90623076405427</v>
      </c>
      <c r="K557" s="307">
        <f t="shared" ca="1" si="247"/>
        <v>1732.690547797991</v>
      </c>
      <c r="L557" s="304">
        <f t="shared" ca="1" si="232"/>
        <v>1761.4329659472094</v>
      </c>
      <c r="M557" s="306">
        <f t="shared" ca="1" si="248"/>
        <v>-0.64222485738221369</v>
      </c>
      <c r="N557" s="304">
        <f t="shared" ca="1" si="249"/>
        <v>-36.796773826392055</v>
      </c>
      <c r="P557" s="310">
        <f t="shared" ca="1" si="250"/>
        <v>23</v>
      </c>
      <c r="Q557" s="304">
        <f t="shared" ca="1" si="251"/>
        <v>0</v>
      </c>
      <c r="R557" s="306">
        <f t="shared" ca="1" si="252"/>
        <v>0</v>
      </c>
      <c r="S557" s="307">
        <f t="shared" ca="1" si="253"/>
        <v>6.8519999999999914</v>
      </c>
      <c r="T557" s="304">
        <f t="shared" ca="1" si="233"/>
        <v>67.218119999999914</v>
      </c>
      <c r="U557" s="311">
        <f t="shared" ca="1" si="234"/>
        <v>0</v>
      </c>
      <c r="V557" s="306">
        <f t="shared" ca="1" si="235"/>
        <v>1.0296679111006251</v>
      </c>
      <c r="W557" s="304">
        <f t="shared" ca="1" si="236"/>
        <v>0.81149747732647648</v>
      </c>
      <c r="Y557" s="314" t="str">
        <f t="shared" ca="1" si="254"/>
        <v/>
      </c>
      <c r="Z557" s="315" t="str">
        <f t="shared" ca="1" si="255"/>
        <v/>
      </c>
      <c r="AA557" s="316" t="str">
        <f t="shared" ca="1" si="256"/>
        <v/>
      </c>
      <c r="AC557" s="310" t="e">
        <f t="shared" ca="1" si="257"/>
        <v>#N/A</v>
      </c>
      <c r="AD557" s="323" t="e">
        <f t="shared" ca="1" si="258"/>
        <v>#N/A</v>
      </c>
      <c r="AE557" s="324">
        <f t="shared" ca="1" si="237"/>
        <v>1732.690547797991</v>
      </c>
      <c r="AG557" s="306">
        <f t="shared" ca="1" si="259"/>
        <v>5.3986444070506918</v>
      </c>
      <c r="AH557" s="304">
        <f t="shared" ca="1" si="260"/>
        <v>-0.11106787698600004</v>
      </c>
    </row>
    <row r="558" spans="1:34" x14ac:dyDescent="0.2">
      <c r="A558" s="347">
        <f t="shared" ca="1" si="238"/>
        <v>0.1</v>
      </c>
      <c r="B558" s="304">
        <f t="shared" ca="1" si="239"/>
        <v>19.399999999999963</v>
      </c>
      <c r="D558" s="306">
        <f t="shared" ca="1" si="240"/>
        <v>-9.4836377387668119E-2</v>
      </c>
      <c r="E558" s="307">
        <f t="shared" ca="1" si="241"/>
        <v>-9.7390616534959111</v>
      </c>
      <c r="F558" s="304">
        <f t="shared" ca="1" si="242"/>
        <v>9.739523388188486</v>
      </c>
      <c r="G558" s="306">
        <f t="shared" ca="1" si="243"/>
        <v>14.169397921799797</v>
      </c>
      <c r="H558" s="307">
        <f t="shared" ca="1" si="244"/>
        <v>-11.579819643037771</v>
      </c>
      <c r="I558" s="304">
        <f t="shared" ca="1" si="245"/>
        <v>18.299291254898041</v>
      </c>
      <c r="J558" s="306">
        <f t="shared" ca="1" si="246"/>
        <v>318.32364473812117</v>
      </c>
      <c r="K558" s="307">
        <f t="shared" ca="1" si="247"/>
        <v>1731.5812611419547</v>
      </c>
      <c r="L558" s="304">
        <f t="shared" ca="1" si="232"/>
        <v>1760.5975141233512</v>
      </c>
      <c r="M558" s="306">
        <f t="shared" ca="1" si="248"/>
        <v>-0.68516597576760541</v>
      </c>
      <c r="N558" s="304">
        <f t="shared" ca="1" si="249"/>
        <v>-39.257118677446627</v>
      </c>
      <c r="P558" s="310">
        <f t="shared" ca="1" si="250"/>
        <v>23</v>
      </c>
      <c r="Q558" s="304">
        <f t="shared" ca="1" si="251"/>
        <v>0</v>
      </c>
      <c r="R558" s="306">
        <f t="shared" ca="1" si="252"/>
        <v>0</v>
      </c>
      <c r="S558" s="307">
        <f t="shared" ca="1" si="253"/>
        <v>6.8519999999999914</v>
      </c>
      <c r="T558" s="304">
        <f t="shared" ca="1" si="233"/>
        <v>67.218119999999914</v>
      </c>
      <c r="U558" s="311">
        <f t="shared" ca="1" si="234"/>
        <v>0</v>
      </c>
      <c r="V558" s="306">
        <f t="shared" ca="1" si="235"/>
        <v>1.029783000426042</v>
      </c>
      <c r="W558" s="304">
        <f t="shared" ca="1" si="236"/>
        <v>0.86682329942072844</v>
      </c>
      <c r="Y558" s="314" t="str">
        <f t="shared" ca="1" si="254"/>
        <v/>
      </c>
      <c r="Z558" s="315" t="str">
        <f t="shared" ca="1" si="255"/>
        <v/>
      </c>
      <c r="AA558" s="316" t="str">
        <f t="shared" ca="1" si="256"/>
        <v/>
      </c>
      <c r="AC558" s="310" t="e">
        <f t="shared" ca="1" si="257"/>
        <v>#N/A</v>
      </c>
      <c r="AD558" s="323" t="e">
        <f t="shared" ca="1" si="258"/>
        <v>#N/A</v>
      </c>
      <c r="AE558" s="324">
        <f t="shared" ca="1" si="237"/>
        <v>1731.5812611419547</v>
      </c>
      <c r="AG558" s="306">
        <f t="shared" ca="1" si="259"/>
        <v>5.7575469817704175</v>
      </c>
      <c r="AH558" s="304">
        <f t="shared" ca="1" si="260"/>
        <v>-0.11843220626480991</v>
      </c>
    </row>
    <row r="559" spans="1:34" x14ac:dyDescent="0.2">
      <c r="A559" s="347">
        <f t="shared" ca="1" si="238"/>
        <v>0.1</v>
      </c>
      <c r="B559" s="304">
        <f t="shared" ca="1" si="239"/>
        <v>19.499999999999964</v>
      </c>
      <c r="D559" s="306">
        <f t="shared" ca="1" si="240"/>
        <v>-9.7955843632613365E-2</v>
      </c>
      <c r="E559" s="307">
        <f t="shared" ca="1" si="241"/>
        <v>-9.7299464219646126</v>
      </c>
      <c r="F559" s="304">
        <f t="shared" ca="1" si="242"/>
        <v>9.7304394927260986</v>
      </c>
      <c r="G559" s="306">
        <f t="shared" ca="1" si="243"/>
        <v>14.159602337436535</v>
      </c>
      <c r="H559" s="307">
        <f t="shared" ca="1" si="244"/>
        <v>-12.552814285234232</v>
      </c>
      <c r="I559" s="304">
        <f t="shared" ca="1" si="245"/>
        <v>18.922671186540203</v>
      </c>
      <c r="J559" s="306">
        <f t="shared" ca="1" si="246"/>
        <v>319.74009475108301</v>
      </c>
      <c r="K559" s="307">
        <f t="shared" ca="1" si="247"/>
        <v>1730.3746294455411</v>
      </c>
      <c r="L559" s="304">
        <f t="shared" ca="1" si="232"/>
        <v>1759.6676067997118</v>
      </c>
      <c r="M559" s="306">
        <f t="shared" ca="1" si="248"/>
        <v>-0.7253191976765061</v>
      </c>
      <c r="N559" s="304">
        <f t="shared" ca="1" si="249"/>
        <v>-41.557728826678868</v>
      </c>
      <c r="P559" s="310">
        <f t="shared" ca="1" si="250"/>
        <v>23</v>
      </c>
      <c r="Q559" s="304">
        <f t="shared" ca="1" si="251"/>
        <v>0</v>
      </c>
      <c r="R559" s="306">
        <f t="shared" ca="1" si="252"/>
        <v>0</v>
      </c>
      <c r="S559" s="307">
        <f t="shared" ca="1" si="253"/>
        <v>6.8519999999999914</v>
      </c>
      <c r="T559" s="304">
        <f t="shared" ca="1" si="233"/>
        <v>67.218119999999914</v>
      </c>
      <c r="U559" s="311">
        <f t="shared" ca="1" si="234"/>
        <v>0</v>
      </c>
      <c r="V559" s="306">
        <f t="shared" ca="1" si="235"/>
        <v>1.0299082027146926</v>
      </c>
      <c r="W559" s="304">
        <f t="shared" ca="1" si="236"/>
        <v>0.92699997352105168</v>
      </c>
      <c r="Y559" s="314" t="str">
        <f t="shared" ca="1" si="254"/>
        <v/>
      </c>
      <c r="Z559" s="315" t="str">
        <f t="shared" ca="1" si="255"/>
        <v/>
      </c>
      <c r="AA559" s="316" t="str">
        <f t="shared" ca="1" si="256"/>
        <v/>
      </c>
      <c r="AC559" s="310" t="e">
        <f t="shared" ca="1" si="257"/>
        <v>#N/A</v>
      </c>
      <c r="AD559" s="323" t="e">
        <f t="shared" ca="1" si="258"/>
        <v>#N/A</v>
      </c>
      <c r="AE559" s="324">
        <f t="shared" ca="1" si="237"/>
        <v>1730.3746294455411</v>
      </c>
      <c r="AG559" s="306">
        <f t="shared" ca="1" si="259"/>
        <v>6.0812764727042889</v>
      </c>
      <c r="AH559" s="304">
        <f t="shared" ca="1" si="260"/>
        <v>-0.12650661112386596</v>
      </c>
    </row>
    <row r="560" spans="1:34" x14ac:dyDescent="0.2">
      <c r="A560" s="347">
        <f t="shared" ca="1" si="238"/>
        <v>0.1</v>
      </c>
      <c r="B560" s="304">
        <f t="shared" ca="1" si="239"/>
        <v>19.599999999999966</v>
      </c>
      <c r="D560" s="306">
        <f t="shared" ca="1" si="240"/>
        <v>-0.10123506855170522</v>
      </c>
      <c r="E560" s="307">
        <f t="shared" ca="1" si="241"/>
        <v>-9.7202527751557906</v>
      </c>
      <c r="F560" s="304">
        <f t="shared" ca="1" si="242"/>
        <v>9.7207799353770223</v>
      </c>
      <c r="G560" s="306">
        <f t="shared" ca="1" si="243"/>
        <v>14.149478830581364</v>
      </c>
      <c r="H560" s="307">
        <f t="shared" ca="1" si="244"/>
        <v>-13.524839562749811</v>
      </c>
      <c r="I560" s="304">
        <f t="shared" ca="1" si="245"/>
        <v>19.573682238536332</v>
      </c>
      <c r="J560" s="306">
        <f t="shared" ca="1" si="246"/>
        <v>321.15554880948389</v>
      </c>
      <c r="K560" s="307">
        <f t="shared" ca="1" si="247"/>
        <v>1729.070746753142</v>
      </c>
      <c r="L560" s="304">
        <f t="shared" ca="1" si="232"/>
        <v>1758.6433788032718</v>
      </c>
      <c r="M560" s="306">
        <f t="shared" ca="1" si="248"/>
        <v>-0.76283091471424147</v>
      </c>
      <c r="N560" s="304">
        <f t="shared" ca="1" si="249"/>
        <v>-43.706991895230082</v>
      </c>
      <c r="P560" s="310">
        <f t="shared" ca="1" si="250"/>
        <v>23</v>
      </c>
      <c r="Q560" s="304">
        <f t="shared" ca="1" si="251"/>
        <v>0</v>
      </c>
      <c r="R560" s="306">
        <f t="shared" ca="1" si="252"/>
        <v>0</v>
      </c>
      <c r="S560" s="307">
        <f t="shared" ca="1" si="253"/>
        <v>6.8519999999999914</v>
      </c>
      <c r="T560" s="304">
        <f t="shared" ca="1" si="233"/>
        <v>67.218119999999914</v>
      </c>
      <c r="U560" s="311">
        <f t="shared" ca="1" si="234"/>
        <v>0</v>
      </c>
      <c r="V560" s="306">
        <f t="shared" ca="1" si="235"/>
        <v>1.0300435115740882</v>
      </c>
      <c r="W560" s="304">
        <f t="shared" ca="1" si="236"/>
        <v>0.99201207161989025</v>
      </c>
      <c r="Y560" s="314" t="str">
        <f t="shared" ca="1" si="254"/>
        <v/>
      </c>
      <c r="Z560" s="315" t="str">
        <f t="shared" ca="1" si="255"/>
        <v/>
      </c>
      <c r="AA560" s="316" t="str">
        <f t="shared" ca="1" si="256"/>
        <v/>
      </c>
      <c r="AC560" s="310" t="e">
        <f t="shared" ca="1" si="257"/>
        <v>#N/A</v>
      </c>
      <c r="AD560" s="323" t="e">
        <f t="shared" ca="1" si="258"/>
        <v>#N/A</v>
      </c>
      <c r="AE560" s="324">
        <f t="shared" ca="1" si="237"/>
        <v>1729.070746753142</v>
      </c>
      <c r="AG560" s="306">
        <f t="shared" ca="1" si="259"/>
        <v>6.3724131963218502</v>
      </c>
      <c r="AH560" s="304">
        <f t="shared" ca="1" si="260"/>
        <v>-0.13528896286063236</v>
      </c>
    </row>
    <row r="561" spans="1:34" x14ac:dyDescent="0.2">
      <c r="A561" s="347">
        <f t="shared" ca="1" si="238"/>
        <v>0.1</v>
      </c>
      <c r="B561" s="304">
        <f t="shared" ca="1" si="239"/>
        <v>19.699999999999967</v>
      </c>
      <c r="D561" s="306">
        <f t="shared" ca="1" si="240"/>
        <v>-0.1046568147641653</v>
      </c>
      <c r="E561" s="307">
        <f t="shared" ca="1" si="241"/>
        <v>-9.7099633381708372</v>
      </c>
      <c r="F561" s="304">
        <f t="shared" ca="1" si="242"/>
        <v>9.7105273326168202</v>
      </c>
      <c r="G561" s="306">
        <f t="shared" ca="1" si="243"/>
        <v>14.139013149104947</v>
      </c>
      <c r="H561" s="307">
        <f t="shared" ca="1" si="244"/>
        <v>-14.495835896566895</v>
      </c>
      <c r="I561" s="304">
        <f t="shared" ca="1" si="245"/>
        <v>20.249467923151954</v>
      </c>
      <c r="J561" s="306">
        <f t="shared" ca="1" si="246"/>
        <v>322.56997340846823</v>
      </c>
      <c r="K561" s="307">
        <f t="shared" ca="1" si="247"/>
        <v>1727.6697129801762</v>
      </c>
      <c r="L561" s="304">
        <f t="shared" ca="1" si="232"/>
        <v>1757.5249713428666</v>
      </c>
      <c r="M561" s="306">
        <f t="shared" ca="1" si="248"/>
        <v>-0.79785865444032855</v>
      </c>
      <c r="N561" s="304">
        <f t="shared" ca="1" si="249"/>
        <v>-45.713933547417604</v>
      </c>
      <c r="P561" s="310">
        <f t="shared" ca="1" si="250"/>
        <v>23</v>
      </c>
      <c r="Q561" s="304">
        <f t="shared" ca="1" si="251"/>
        <v>0</v>
      </c>
      <c r="R561" s="306">
        <f t="shared" ca="1" si="252"/>
        <v>0</v>
      </c>
      <c r="S561" s="307">
        <f t="shared" ca="1" si="253"/>
        <v>6.8519999999999914</v>
      </c>
      <c r="T561" s="304">
        <f t="shared" ca="1" si="233"/>
        <v>67.218119999999914</v>
      </c>
      <c r="U561" s="311">
        <f t="shared" ca="1" si="234"/>
        <v>0</v>
      </c>
      <c r="V561" s="306">
        <f t="shared" ca="1" si="235"/>
        <v>1.0301889202700487</v>
      </c>
      <c r="W561" s="304">
        <f t="shared" ca="1" si="236"/>
        <v>1.0618432874710555</v>
      </c>
      <c r="Y561" s="314" t="str">
        <f t="shared" ca="1" si="254"/>
        <v/>
      </c>
      <c r="Z561" s="315" t="str">
        <f t="shared" ca="1" si="255"/>
        <v/>
      </c>
      <c r="AA561" s="316" t="str">
        <f t="shared" ca="1" si="256"/>
        <v/>
      </c>
      <c r="AC561" s="310" t="e">
        <f t="shared" ca="1" si="257"/>
        <v>#N/A</v>
      </c>
      <c r="AD561" s="323" t="e">
        <f t="shared" ca="1" si="258"/>
        <v>#N/A</v>
      </c>
      <c r="AE561" s="324">
        <f t="shared" ca="1" si="237"/>
        <v>1727.6697129801762</v>
      </c>
      <c r="AG561" s="306">
        <f t="shared" ca="1" si="259"/>
        <v>6.6336448779333494</v>
      </c>
      <c r="AH561" s="304">
        <f t="shared" ca="1" si="260"/>
        <v>-0.14477700986863565</v>
      </c>
    </row>
    <row r="562" spans="1:34" x14ac:dyDescent="0.2">
      <c r="A562" s="347">
        <f t="shared" ca="1" si="238"/>
        <v>0.1</v>
      </c>
      <c r="B562" s="304">
        <f t="shared" ca="1" si="239"/>
        <v>19.799999999999969</v>
      </c>
      <c r="D562" s="306">
        <f t="shared" ca="1" si="240"/>
        <v>-0.10820530509410431</v>
      </c>
      <c r="E562" s="307">
        <f t="shared" ca="1" si="241"/>
        <v>-9.6990639446161513</v>
      </c>
      <c r="F562" s="304">
        <f t="shared" ca="1" si="242"/>
        <v>9.6996675092398679</v>
      </c>
      <c r="G562" s="306">
        <f t="shared" ca="1" si="243"/>
        <v>14.128192618595538</v>
      </c>
      <c r="H562" s="307">
        <f t="shared" ca="1" si="244"/>
        <v>-15.46574229102851</v>
      </c>
      <c r="I562" s="304">
        <f t="shared" ca="1" si="245"/>
        <v>20.947434479683789</v>
      </c>
      <c r="J562" s="306">
        <f t="shared" ca="1" si="246"/>
        <v>323.98333369685326</v>
      </c>
      <c r="K562" s="307">
        <f t="shared" ca="1" si="247"/>
        <v>1726.1716340707965</v>
      </c>
      <c r="L562" s="304">
        <f t="shared" ca="1" si="232"/>
        <v>1756.3125322060337</v>
      </c>
      <c r="M562" s="306">
        <f t="shared" ca="1" si="248"/>
        <v>-0.83056417572360675</v>
      </c>
      <c r="N562" s="304">
        <f t="shared" ca="1" si="249"/>
        <v>-47.587821883724736</v>
      </c>
      <c r="P562" s="310">
        <f t="shared" ca="1" si="250"/>
        <v>23</v>
      </c>
      <c r="Q562" s="304">
        <f t="shared" ca="1" si="251"/>
        <v>0</v>
      </c>
      <c r="R562" s="306">
        <f t="shared" ca="1" si="252"/>
        <v>0</v>
      </c>
      <c r="S562" s="307">
        <f t="shared" ca="1" si="253"/>
        <v>6.8519999999999914</v>
      </c>
      <c r="T562" s="304">
        <f t="shared" ca="1" si="233"/>
        <v>67.218119999999914</v>
      </c>
      <c r="U562" s="311">
        <f t="shared" ca="1" si="234"/>
        <v>0</v>
      </c>
      <c r="V562" s="306">
        <f t="shared" ca="1" si="235"/>
        <v>1.0303444217092816</v>
      </c>
      <c r="W562" s="304">
        <f t="shared" ca="1" si="236"/>
        <v>1.1364764075788565</v>
      </c>
      <c r="Y562" s="314" t="str">
        <f t="shared" ca="1" si="254"/>
        <v/>
      </c>
      <c r="Z562" s="315" t="str">
        <f t="shared" ca="1" si="255"/>
        <v/>
      </c>
      <c r="AA562" s="316" t="str">
        <f t="shared" ca="1" si="256"/>
        <v/>
      </c>
      <c r="AC562" s="310" t="e">
        <f t="shared" ca="1" si="257"/>
        <v>#N/A</v>
      </c>
      <c r="AD562" s="323" t="e">
        <f t="shared" ca="1" si="258"/>
        <v>#N/A</v>
      </c>
      <c r="AE562" s="324">
        <f t="shared" ca="1" si="237"/>
        <v>1726.1716340707965</v>
      </c>
      <c r="AG562" s="306">
        <f t="shared" ca="1" si="259"/>
        <v>6.8676433172318907</v>
      </c>
      <c r="AH562" s="304">
        <f t="shared" ca="1" si="260"/>
        <v>-0.15496837236880573</v>
      </c>
    </row>
    <row r="563" spans="1:34" x14ac:dyDescent="0.2">
      <c r="A563" s="347">
        <f t="shared" ca="1" si="238"/>
        <v>0.1</v>
      </c>
      <c r="B563" s="304">
        <f t="shared" ca="1" si="239"/>
        <v>19.89999999999997</v>
      </c>
      <c r="D563" s="306">
        <f t="shared" ca="1" si="240"/>
        <v>-0.1118661874054679</v>
      </c>
      <c r="E563" s="307">
        <f t="shared" ca="1" si="241"/>
        <v>-9.6875431739785522</v>
      </c>
      <c r="F563" s="304">
        <f t="shared" ca="1" si="242"/>
        <v>9.6881890357064702</v>
      </c>
      <c r="G563" s="306">
        <f t="shared" ca="1" si="243"/>
        <v>14.117005999854991</v>
      </c>
      <c r="H563" s="307">
        <f t="shared" ca="1" si="244"/>
        <v>-16.434496608426365</v>
      </c>
      <c r="I563" s="304">
        <f t="shared" ca="1" si="245"/>
        <v>21.665237990207249</v>
      </c>
      <c r="J563" s="306">
        <f t="shared" ca="1" si="246"/>
        <v>325.39559362777578</v>
      </c>
      <c r="K563" s="307">
        <f t="shared" ca="1" si="247"/>
        <v>1724.5766221258236</v>
      </c>
      <c r="L563" s="304">
        <f t="shared" ca="1" si="232"/>
        <v>1755.0062159249719</v>
      </c>
      <c r="M563" s="306">
        <f t="shared" ca="1" si="248"/>
        <v>-0.86110838179307869</v>
      </c>
      <c r="N563" s="304">
        <f t="shared" ca="1" si="249"/>
        <v>-49.337875980083346</v>
      </c>
      <c r="P563" s="310">
        <f t="shared" ca="1" si="250"/>
        <v>23</v>
      </c>
      <c r="Q563" s="304">
        <f t="shared" ca="1" si="251"/>
        <v>0</v>
      </c>
      <c r="R563" s="306">
        <f t="shared" ca="1" si="252"/>
        <v>0</v>
      </c>
      <c r="S563" s="307">
        <f t="shared" ca="1" si="253"/>
        <v>6.8519999999999914</v>
      </c>
      <c r="T563" s="304">
        <f t="shared" ca="1" si="233"/>
        <v>67.218119999999914</v>
      </c>
      <c r="U563" s="311">
        <f t="shared" ca="1" si="234"/>
        <v>0</v>
      </c>
      <c r="V563" s="306">
        <f t="shared" ca="1" si="235"/>
        <v>1.0305100084249736</v>
      </c>
      <c r="W563" s="304">
        <f t="shared" ca="1" si="236"/>
        <v>1.2158932882905276</v>
      </c>
      <c r="Y563" s="314" t="str">
        <f t="shared" ca="1" si="254"/>
        <v/>
      </c>
      <c r="Z563" s="315" t="str">
        <f t="shared" ca="1" si="255"/>
        <v/>
      </c>
      <c r="AA563" s="316" t="str">
        <f t="shared" ca="1" si="256"/>
        <v/>
      </c>
      <c r="AC563" s="310" t="e">
        <f t="shared" ca="1" si="257"/>
        <v>#N/A</v>
      </c>
      <c r="AD563" s="323" t="e">
        <f t="shared" ca="1" si="258"/>
        <v>#N/A</v>
      </c>
      <c r="AE563" s="324">
        <f t="shared" ca="1" si="237"/>
        <v>1724.5766221258236</v>
      </c>
      <c r="AG563" s="306">
        <f t="shared" ca="1" si="259"/>
        <v>7.0769802031160296</v>
      </c>
      <c r="AH563" s="304">
        <f t="shared" ca="1" si="260"/>
        <v>-0.16586053817554844</v>
      </c>
    </row>
    <row r="564" spans="1:34" x14ac:dyDescent="0.2">
      <c r="A564" s="347">
        <f t="shared" ca="1" si="238"/>
        <v>0.1</v>
      </c>
      <c r="B564" s="304">
        <f t="shared" ca="1" si="239"/>
        <v>19.999999999999972</v>
      </c>
      <c r="D564" s="306">
        <f t="shared" ca="1" si="240"/>
        <v>-0.11562646333752713</v>
      </c>
      <c r="E564" s="307">
        <f t="shared" ca="1" si="241"/>
        <v>-9.6753919450353401</v>
      </c>
      <c r="F564" s="304">
        <f t="shared" ca="1" si="242"/>
        <v>9.6760828215284871</v>
      </c>
      <c r="G564" s="306">
        <f t="shared" ca="1" si="243"/>
        <v>14.105443353521238</v>
      </c>
      <c r="H564" s="307">
        <f t="shared" ca="1" si="244"/>
        <v>-17.402035802929898</v>
      </c>
      <c r="I564" s="304">
        <f t="shared" ca="1" si="245"/>
        <v>22.400767448590919</v>
      </c>
      <c r="J564" s="306">
        <f t="shared" ca="1" si="246"/>
        <v>326.80671609544459</v>
      </c>
      <c r="K564" s="307">
        <f t="shared" ca="1" si="247"/>
        <v>1722.8847955052559</v>
      </c>
      <c r="L564" s="304">
        <f t="shared" ca="1" si="232"/>
        <v>1753.6061839159543</v>
      </c>
      <c r="M564" s="306">
        <f t="shared" ca="1" si="248"/>
        <v>-0.88964773995745738</v>
      </c>
      <c r="N564" s="304">
        <f t="shared" ca="1" si="249"/>
        <v>-50.973060752914478</v>
      </c>
      <c r="P564" s="310">
        <f t="shared" ca="1" si="250"/>
        <v>23</v>
      </c>
      <c r="Q564" s="304">
        <f t="shared" ca="1" si="251"/>
        <v>0</v>
      </c>
      <c r="R564" s="306">
        <f t="shared" ca="1" si="252"/>
        <v>0</v>
      </c>
      <c r="S564" s="307">
        <f t="shared" ca="1" si="253"/>
        <v>6.8519999999999914</v>
      </c>
      <c r="T564" s="304">
        <f t="shared" ca="1" si="233"/>
        <v>67.218119999999914</v>
      </c>
      <c r="U564" s="311">
        <f t="shared" ca="1" si="234"/>
        <v>0</v>
      </c>
      <c r="V564" s="306">
        <f t="shared" ca="1" si="235"/>
        <v>1.0306856725649409</v>
      </c>
      <c r="W564" s="304">
        <f t="shared" ca="1" si="236"/>
        <v>1.3000748381171849</v>
      </c>
      <c r="Y564" s="314" t="str">
        <f t="shared" ca="1" si="254"/>
        <v/>
      </c>
      <c r="Z564" s="315" t="str">
        <f t="shared" ca="1" si="255"/>
        <v/>
      </c>
      <c r="AA564" s="316" t="str">
        <f t="shared" ca="1" si="256"/>
        <v/>
      </c>
      <c r="AC564" s="310">
        <f t="shared" ca="1" si="257"/>
        <v>19.999999999999972</v>
      </c>
      <c r="AD564" s="323">
        <f t="shared" ca="1" si="258"/>
        <v>326.80671609544459</v>
      </c>
      <c r="AE564" s="324">
        <f t="shared" ca="1" si="237"/>
        <v>1722.8847955052559</v>
      </c>
      <c r="AG564" s="306">
        <f t="shared" ca="1" si="259"/>
        <v>7.2640742142014068</v>
      </c>
      <c r="AH564" s="304">
        <f t="shared" ca="1" si="260"/>
        <v>-0.17745085935355065</v>
      </c>
    </row>
    <row r="565" spans="1:34" x14ac:dyDescent="0.2">
      <c r="A565" s="347">
        <f t="shared" ca="1" si="238"/>
        <v>0.1</v>
      </c>
      <c r="B565" s="304">
        <f t="shared" ca="1" si="239"/>
        <v>20.099999999999973</v>
      </c>
      <c r="D565" s="306">
        <f t="shared" ca="1" si="240"/>
        <v>-0.11947439564954772</v>
      </c>
      <c r="E565" s="307">
        <f t="shared" ca="1" si="241"/>
        <v>-9.6626031647131594</v>
      </c>
      <c r="F565" s="304">
        <f t="shared" ca="1" si="242"/>
        <v>9.6633417641073116</v>
      </c>
      <c r="G565" s="306">
        <f t="shared" ca="1" si="243"/>
        <v>14.093495913956284</v>
      </c>
      <c r="H565" s="307">
        <f t="shared" ca="1" si="244"/>
        <v>-18.368296119401215</v>
      </c>
      <c r="I565" s="304">
        <f t="shared" ca="1" si="245"/>
        <v>23.152125807508739</v>
      </c>
      <c r="J565" s="306">
        <f t="shared" ca="1" si="246"/>
        <v>328.21666305881848</v>
      </c>
      <c r="K565" s="307">
        <f t="shared" ca="1" si="247"/>
        <v>1721.0962789091393</v>
      </c>
      <c r="L565" s="304">
        <f t="shared" ca="1" si="232"/>
        <v>1752.1126045960493</v>
      </c>
      <c r="M565" s="306">
        <f t="shared" ca="1" si="248"/>
        <v>-0.91633189885288857</v>
      </c>
      <c r="N565" s="304">
        <f t="shared" ca="1" si="249"/>
        <v>-52.501950437479159</v>
      </c>
      <c r="P565" s="310">
        <f t="shared" ca="1" si="250"/>
        <v>23</v>
      </c>
      <c r="Q565" s="304">
        <f t="shared" ca="1" si="251"/>
        <v>0</v>
      </c>
      <c r="R565" s="306">
        <f t="shared" ca="1" si="252"/>
        <v>0</v>
      </c>
      <c r="S565" s="307">
        <f t="shared" ca="1" si="253"/>
        <v>6.8519999999999914</v>
      </c>
      <c r="T565" s="304">
        <f t="shared" ca="1" si="233"/>
        <v>67.218119999999914</v>
      </c>
      <c r="U565" s="311">
        <f t="shared" ca="1" si="234"/>
        <v>0</v>
      </c>
      <c r="V565" s="306">
        <f t="shared" ca="1" si="235"/>
        <v>1.0308714058819524</v>
      </c>
      <c r="W565" s="304">
        <f t="shared" ca="1" si="236"/>
        <v>1.3890010045226604</v>
      </c>
      <c r="Y565" s="314" t="str">
        <f t="shared" ca="1" si="254"/>
        <v/>
      </c>
      <c r="Z565" s="315" t="str">
        <f t="shared" ca="1" si="255"/>
        <v/>
      </c>
      <c r="AA565" s="316" t="str">
        <f t="shared" ca="1" si="256"/>
        <v/>
      </c>
      <c r="AC565" s="310" t="e">
        <f t="shared" ca="1" si="257"/>
        <v>#N/A</v>
      </c>
      <c r="AD565" s="323" t="e">
        <f t="shared" ca="1" si="258"/>
        <v>#N/A</v>
      </c>
      <c r="AE565" s="324">
        <f t="shared" ca="1" si="237"/>
        <v>1721.0962789091393</v>
      </c>
      <c r="AG565" s="306">
        <f t="shared" ca="1" si="259"/>
        <v>7.431161779784575</v>
      </c>
      <c r="AH565" s="304">
        <f t="shared" ca="1" si="260"/>
        <v>-0.18973654963765127</v>
      </c>
    </row>
    <row r="566" spans="1:34" x14ac:dyDescent="0.2">
      <c r="A566" s="347">
        <f t="shared" ca="1" si="238"/>
        <v>0.1</v>
      </c>
      <c r="B566" s="304">
        <f t="shared" ca="1" si="239"/>
        <v>20.199999999999974</v>
      </c>
      <c r="D566" s="306">
        <f t="shared" ca="1" si="240"/>
        <v>-0.12339940501935688</v>
      </c>
      <c r="E566" s="307">
        <f t="shared" ca="1" si="241"/>
        <v>-9.6491714287078416</v>
      </c>
      <c r="F566" s="304">
        <f t="shared" ca="1" si="242"/>
        <v>9.6499604493360938</v>
      </c>
      <c r="G566" s="306">
        <f t="shared" ca="1" si="243"/>
        <v>14.081155973454349</v>
      </c>
      <c r="H566" s="307">
        <f t="shared" ca="1" si="244"/>
        <v>-19.333213262272</v>
      </c>
      <c r="I566" s="304">
        <f t="shared" ca="1" si="245"/>
        <v>23.917610428160231</v>
      </c>
      <c r="J566" s="306">
        <f t="shared" ca="1" si="246"/>
        <v>329.625395653189</v>
      </c>
      <c r="K566" s="307">
        <f t="shared" ca="1" si="247"/>
        <v>1719.2112034400557</v>
      </c>
      <c r="L566" s="304">
        <f t="shared" ca="1" si="232"/>
        <v>1750.5256534804985</v>
      </c>
      <c r="M566" s="306">
        <f t="shared" ca="1" si="248"/>
        <v>-0.94130222485753512</v>
      </c>
      <c r="N566" s="304">
        <f t="shared" ca="1" si="249"/>
        <v>-53.932644730611173</v>
      </c>
      <c r="P566" s="310">
        <f t="shared" ca="1" si="250"/>
        <v>23</v>
      </c>
      <c r="Q566" s="304">
        <f t="shared" ca="1" si="251"/>
        <v>0</v>
      </c>
      <c r="R566" s="306">
        <f t="shared" ca="1" si="252"/>
        <v>0</v>
      </c>
      <c r="S566" s="307">
        <f t="shared" ca="1" si="253"/>
        <v>6.8519999999999914</v>
      </c>
      <c r="T566" s="304">
        <f t="shared" ca="1" si="233"/>
        <v>67.218119999999914</v>
      </c>
      <c r="U566" s="311">
        <f t="shared" ca="1" si="234"/>
        <v>0</v>
      </c>
      <c r="V566" s="306">
        <f t="shared" ca="1" si="235"/>
        <v>1.0310671997258816</v>
      </c>
      <c r="W566" s="304">
        <f t="shared" ca="1" si="236"/>
        <v>1.4826507645281846</v>
      </c>
      <c r="Y566" s="314" t="str">
        <f t="shared" ca="1" si="254"/>
        <v/>
      </c>
      <c r="Z566" s="315" t="str">
        <f t="shared" ca="1" si="255"/>
        <v/>
      </c>
      <c r="AA566" s="316" t="str">
        <f t="shared" ca="1" si="256"/>
        <v/>
      </c>
      <c r="AC566" s="310" t="e">
        <f t="shared" ca="1" si="257"/>
        <v>#N/A</v>
      </c>
      <c r="AD566" s="323" t="e">
        <f t="shared" ca="1" si="258"/>
        <v>#N/A</v>
      </c>
      <c r="AE566" s="324">
        <f t="shared" ca="1" si="237"/>
        <v>1719.2112034400557</v>
      </c>
      <c r="AG566" s="306">
        <f t="shared" ca="1" si="259"/>
        <v>7.5802848756993182</v>
      </c>
      <c r="AH566" s="304">
        <f t="shared" ca="1" si="260"/>
        <v>-0.20271468250476679</v>
      </c>
    </row>
    <row r="567" spans="1:34" x14ac:dyDescent="0.2">
      <c r="A567" s="347">
        <f t="shared" ca="1" si="238"/>
        <v>0.1</v>
      </c>
      <c r="B567" s="304">
        <f t="shared" ca="1" si="239"/>
        <v>20.299999999999976</v>
      </c>
      <c r="D567" s="306">
        <f t="shared" ca="1" si="240"/>
        <v>-0.12739196391050051</v>
      </c>
      <c r="E567" s="307">
        <f t="shared" ca="1" si="241"/>
        <v>-9.6350927686033465</v>
      </c>
      <c r="F567" s="304">
        <f t="shared" ca="1" si="242"/>
        <v>9.6359348987039901</v>
      </c>
      <c r="G567" s="306">
        <f t="shared" ca="1" si="243"/>
        <v>14.068416777063298</v>
      </c>
      <c r="H567" s="307">
        <f t="shared" ca="1" si="244"/>
        <v>-20.296722539132336</v>
      </c>
      <c r="I567" s="304">
        <f t="shared" ca="1" si="245"/>
        <v>24.695693884636622</v>
      </c>
      <c r="J567" s="306">
        <f t="shared" ca="1" si="246"/>
        <v>331.03287429071486</v>
      </c>
      <c r="K567" s="307">
        <f t="shared" ca="1" si="247"/>
        <v>1717.2297066499855</v>
      </c>
      <c r="L567" s="304">
        <f t="shared" ca="1" si="232"/>
        <v>1748.8455132636409</v>
      </c>
      <c r="M567" s="306">
        <f t="shared" ca="1" si="248"/>
        <v>-0.9646910222596653</v>
      </c>
      <c r="N567" s="304">
        <f t="shared" ca="1" si="249"/>
        <v>-55.272724109639775</v>
      </c>
      <c r="P567" s="310">
        <f t="shared" ca="1" si="250"/>
        <v>23</v>
      </c>
      <c r="Q567" s="304">
        <f t="shared" ca="1" si="251"/>
        <v>0</v>
      </c>
      <c r="R567" s="306">
        <f t="shared" ca="1" si="252"/>
        <v>0</v>
      </c>
      <c r="S567" s="307">
        <f t="shared" ca="1" si="253"/>
        <v>6.8519999999999914</v>
      </c>
      <c r="T567" s="304">
        <f t="shared" ca="1" si="233"/>
        <v>67.218119999999914</v>
      </c>
      <c r="U567" s="311">
        <f t="shared" ca="1" si="234"/>
        <v>0</v>
      </c>
      <c r="V567" s="306">
        <f t="shared" ca="1" si="235"/>
        <v>1.0312730450374072</v>
      </c>
      <c r="W567" s="304">
        <f t="shared" ca="1" si="236"/>
        <v>1.5810021185796708</v>
      </c>
      <c r="Y567" s="314" t="str">
        <f t="shared" ca="1" si="254"/>
        <v/>
      </c>
      <c r="Z567" s="315" t="str">
        <f t="shared" ca="1" si="255"/>
        <v/>
      </c>
      <c r="AA567" s="316" t="str">
        <f t="shared" ca="1" si="256"/>
        <v/>
      </c>
      <c r="AC567" s="310" t="e">
        <f t="shared" ca="1" si="257"/>
        <v>#N/A</v>
      </c>
      <c r="AD567" s="323" t="e">
        <f t="shared" ca="1" si="258"/>
        <v>#N/A</v>
      </c>
      <c r="AE567" s="324">
        <f t="shared" ca="1" si="237"/>
        <v>1717.2297066499855</v>
      </c>
      <c r="AG567" s="306">
        <f t="shared" ca="1" si="259"/>
        <v>7.7132904952071124</v>
      </c>
      <c r="AH567" s="304">
        <f t="shared" ca="1" si="260"/>
        <v>-0.21638218980271257</v>
      </c>
    </row>
    <row r="568" spans="1:34" x14ac:dyDescent="0.2">
      <c r="A568" s="347">
        <f t="shared" ca="1" si="238"/>
        <v>0.1</v>
      </c>
      <c r="B568" s="304">
        <f t="shared" ca="1" si="239"/>
        <v>20.399999999999977</v>
      </c>
      <c r="D568" s="306">
        <f t="shared" ca="1" si="240"/>
        <v>-0.13144349258169785</v>
      </c>
      <c r="E568" s="307">
        <f t="shared" ca="1" si="241"/>
        <v>-9.6203644396678083</v>
      </c>
      <c r="F568" s="304">
        <f t="shared" ca="1" si="242"/>
        <v>9.6212623570801235</v>
      </c>
      <c r="G568" s="306">
        <f t="shared" ca="1" si="243"/>
        <v>14.055272427805129</v>
      </c>
      <c r="H568" s="307">
        <f t="shared" ca="1" si="244"/>
        <v>-21.258758983099117</v>
      </c>
      <c r="I568" s="304">
        <f t="shared" ca="1" si="245"/>
        <v>25.485005719467996</v>
      </c>
      <c r="J568" s="306">
        <f t="shared" ca="1" si="246"/>
        <v>332.43905875095828</v>
      </c>
      <c r="K568" s="307">
        <f t="shared" ca="1" si="247"/>
        <v>1715.1519325738739</v>
      </c>
      <c r="L568" s="304">
        <f t="shared" ca="1" si="232"/>
        <v>1747.0723738858437</v>
      </c>
      <c r="M568" s="306">
        <f t="shared" ca="1" si="248"/>
        <v>-0.98662124669855644</v>
      </c>
      <c r="N568" s="304">
        <f t="shared" ca="1" si="249"/>
        <v>-56.529233413762888</v>
      </c>
      <c r="P568" s="310">
        <f t="shared" ca="1" si="250"/>
        <v>23</v>
      </c>
      <c r="Q568" s="304">
        <f t="shared" ca="1" si="251"/>
        <v>0</v>
      </c>
      <c r="R568" s="306">
        <f t="shared" ca="1" si="252"/>
        <v>0</v>
      </c>
      <c r="S568" s="307">
        <f t="shared" ca="1" si="253"/>
        <v>6.8519999999999914</v>
      </c>
      <c r="T568" s="304">
        <f t="shared" ca="1" si="233"/>
        <v>67.218119999999914</v>
      </c>
      <c r="U568" s="311">
        <f t="shared" ca="1" si="234"/>
        <v>0</v>
      </c>
      <c r="V568" s="306">
        <f t="shared" ca="1" si="235"/>
        <v>1.0314889323430161</v>
      </c>
      <c r="W568" s="304">
        <f t="shared" ca="1" si="236"/>
        <v>1.684032087211571</v>
      </c>
      <c r="Y568" s="314" t="str">
        <f t="shared" ca="1" si="254"/>
        <v/>
      </c>
      <c r="Z568" s="315" t="str">
        <f t="shared" ca="1" si="255"/>
        <v/>
      </c>
      <c r="AA568" s="316" t="str">
        <f t="shared" ca="1" si="256"/>
        <v/>
      </c>
      <c r="AC568" s="310" t="e">
        <f t="shared" ca="1" si="257"/>
        <v>#N/A</v>
      </c>
      <c r="AD568" s="323" t="e">
        <f t="shared" ca="1" si="258"/>
        <v>#N/A</v>
      </c>
      <c r="AE568" s="324">
        <f t="shared" ca="1" si="237"/>
        <v>1715.1519325738739</v>
      </c>
      <c r="AG568" s="306">
        <f t="shared" ca="1" si="259"/>
        <v>7.8318376808729457</v>
      </c>
      <c r="AH568" s="304">
        <f t="shared" ca="1" si="260"/>
        <v>-0.230735860855177</v>
      </c>
    </row>
    <row r="569" spans="1:34" x14ac:dyDescent="0.2">
      <c r="A569" s="347">
        <f t="shared" ca="1" si="238"/>
        <v>0.1</v>
      </c>
      <c r="B569" s="304">
        <f t="shared" ca="1" si="239"/>
        <v>20.499999999999979</v>
      </c>
      <c r="D569" s="306">
        <f t="shared" ca="1" si="240"/>
        <v>-0.13554626040508144</v>
      </c>
      <c r="E569" s="307">
        <f t="shared" ca="1" si="241"/>
        <v>-9.6049847435677211</v>
      </c>
      <c r="F569" s="304">
        <f t="shared" ca="1" si="242"/>
        <v>9.605941115418025</v>
      </c>
      <c r="G569" s="306">
        <f t="shared" ca="1" si="243"/>
        <v>14.041717801764621</v>
      </c>
      <c r="H569" s="307">
        <f t="shared" ca="1" si="244"/>
        <v>-22.219257457455889</v>
      </c>
      <c r="I569" s="304">
        <f t="shared" ca="1" si="245"/>
        <v>26.284315490137889</v>
      </c>
      <c r="J569" s="306">
        <f t="shared" ca="1" si="246"/>
        <v>333.84390826243674</v>
      </c>
      <c r="K569" s="307">
        <f t="shared" ca="1" si="247"/>
        <v>1712.9780317518462</v>
      </c>
      <c r="L569" s="304">
        <f t="shared" ca="1" si="232"/>
        <v>1745.2064325885253</v>
      </c>
      <c r="M569" s="306">
        <f t="shared" ca="1" si="248"/>
        <v>-1.0072065628466762</v>
      </c>
      <c r="N569" s="304">
        <f t="shared" ca="1" si="249"/>
        <v>-57.70868514899265</v>
      </c>
      <c r="P569" s="310">
        <f t="shared" ca="1" si="250"/>
        <v>23</v>
      </c>
      <c r="Q569" s="304">
        <f t="shared" ca="1" si="251"/>
        <v>0</v>
      </c>
      <c r="R569" s="306">
        <f t="shared" ca="1" si="252"/>
        <v>0</v>
      </c>
      <c r="S569" s="307">
        <f t="shared" ca="1" si="253"/>
        <v>6.8519999999999914</v>
      </c>
      <c r="T569" s="304">
        <f t="shared" ca="1" si="233"/>
        <v>67.218119999999914</v>
      </c>
      <c r="U569" s="311">
        <f t="shared" ca="1" si="234"/>
        <v>0</v>
      </c>
      <c r="V569" s="306">
        <f t="shared" ca="1" si="235"/>
        <v>1.0317148517511112</v>
      </c>
      <c r="W569" s="304">
        <f t="shared" ca="1" si="236"/>
        <v>1.7917167101166112</v>
      </c>
      <c r="Y569" s="314" t="str">
        <f t="shared" ca="1" si="254"/>
        <v/>
      </c>
      <c r="Z569" s="315" t="str">
        <f t="shared" ca="1" si="255"/>
        <v/>
      </c>
      <c r="AA569" s="316" t="str">
        <f t="shared" ca="1" si="256"/>
        <v/>
      </c>
      <c r="AC569" s="310" t="e">
        <f t="shared" ca="1" si="257"/>
        <v>#N/A</v>
      </c>
      <c r="AD569" s="323" t="e">
        <f t="shared" ca="1" si="258"/>
        <v>#N/A</v>
      </c>
      <c r="AE569" s="324">
        <f t="shared" ca="1" si="237"/>
        <v>1712.9780317518462</v>
      </c>
      <c r="AG569" s="306">
        <f t="shared" ca="1" si="259"/>
        <v>7.9374090910547119</v>
      </c>
      <c r="AH569" s="304">
        <f t="shared" ca="1" si="260"/>
        <v>-0.24577234197483555</v>
      </c>
    </row>
    <row r="570" spans="1:34" x14ac:dyDescent="0.2">
      <c r="A570" s="347">
        <f t="shared" ca="1" si="238"/>
        <v>0.1</v>
      </c>
      <c r="B570" s="304">
        <f t="shared" ca="1" si="239"/>
        <v>20.59999999999998</v>
      </c>
      <c r="D570" s="306">
        <f t="shared" ca="1" si="240"/>
        <v>-0.13969329428415123</v>
      </c>
      <c r="E570" s="307">
        <f t="shared" ca="1" si="241"/>
        <v>-9.5889528806518509</v>
      </c>
      <c r="F570" s="304">
        <f t="shared" ca="1" si="242"/>
        <v>9.589970363031858</v>
      </c>
      <c r="G570" s="306">
        <f t="shared" ca="1" si="243"/>
        <v>14.027748472336206</v>
      </c>
      <c r="H570" s="307">
        <f t="shared" ca="1" si="244"/>
        <v>-23.178152745521075</v>
      </c>
      <c r="I570" s="304">
        <f t="shared" ca="1" si="245"/>
        <v>27.092517267648589</v>
      </c>
      <c r="J570" s="306">
        <f t="shared" ca="1" si="246"/>
        <v>335.24738157614178</v>
      </c>
      <c r="K570" s="307">
        <f t="shared" ca="1" si="247"/>
        <v>1710.7081612416973</v>
      </c>
      <c r="L570" s="304">
        <f t="shared" ca="1" si="232"/>
        <v>1743.2478939590342</v>
      </c>
      <c r="M570" s="306">
        <f t="shared" ca="1" si="248"/>
        <v>-1.0265516328670117</v>
      </c>
      <c r="N570" s="304">
        <f t="shared" ca="1" si="249"/>
        <v>-58.817076015542931</v>
      </c>
      <c r="P570" s="310">
        <f t="shared" ca="1" si="250"/>
        <v>23</v>
      </c>
      <c r="Q570" s="304">
        <f t="shared" ca="1" si="251"/>
        <v>0</v>
      </c>
      <c r="R570" s="306">
        <f t="shared" ca="1" si="252"/>
        <v>0</v>
      </c>
      <c r="S570" s="307">
        <f t="shared" ca="1" si="253"/>
        <v>6.8519999999999914</v>
      </c>
      <c r="T570" s="304">
        <f t="shared" ca="1" si="233"/>
        <v>67.218119999999914</v>
      </c>
      <c r="U570" s="311">
        <f t="shared" ca="1" si="234"/>
        <v>0</v>
      </c>
      <c r="V570" s="306">
        <f t="shared" ca="1" si="235"/>
        <v>1.0319507929490563</v>
      </c>
      <c r="W570" s="304">
        <f t="shared" ca="1" si="236"/>
        <v>1.9040310472947566</v>
      </c>
      <c r="Y570" s="314" t="str">
        <f t="shared" ca="1" si="254"/>
        <v/>
      </c>
      <c r="Z570" s="315" t="str">
        <f t="shared" ca="1" si="255"/>
        <v/>
      </c>
      <c r="AA570" s="316" t="str">
        <f t="shared" ca="1" si="256"/>
        <v/>
      </c>
      <c r="AC570" s="310" t="e">
        <f t="shared" ca="1" si="257"/>
        <v>#N/A</v>
      </c>
      <c r="AD570" s="323" t="e">
        <f t="shared" ca="1" si="258"/>
        <v>#N/A</v>
      </c>
      <c r="AE570" s="324">
        <f t="shared" ca="1" si="237"/>
        <v>1710.7081612416973</v>
      </c>
      <c r="AG570" s="306">
        <f t="shared" ca="1" si="259"/>
        <v>8.0313249574517407</v>
      </c>
      <c r="AH570" s="304">
        <f t="shared" ca="1" si="260"/>
        <v>-0.26148813632758516</v>
      </c>
    </row>
    <row r="571" spans="1:34" x14ac:dyDescent="0.2">
      <c r="A571" s="347">
        <f t="shared" ca="1" si="238"/>
        <v>0.1</v>
      </c>
      <c r="B571" s="304">
        <f t="shared" ca="1" si="239"/>
        <v>20.699999999999982</v>
      </c>
      <c r="D571" s="306">
        <f t="shared" ca="1" si="240"/>
        <v>-0.14387829500675528</v>
      </c>
      <c r="E571" s="307">
        <f t="shared" ca="1" si="241"/>
        <v>-9.5722688270317757</v>
      </c>
      <c r="F571" s="304">
        <f t="shared" ca="1" si="242"/>
        <v>9.5733500646711089</v>
      </c>
      <c r="G571" s="306">
        <f t="shared" ca="1" si="243"/>
        <v>14.013360642835531</v>
      </c>
      <c r="H571" s="307">
        <f t="shared" ca="1" si="244"/>
        <v>-24.135379628224253</v>
      </c>
      <c r="I571" s="304">
        <f t="shared" ca="1" si="245"/>
        <v>27.908615628595307</v>
      </c>
      <c r="J571" s="306">
        <f t="shared" ca="1" si="246"/>
        <v>336.64943703190039</v>
      </c>
      <c r="K571" s="307">
        <f t="shared" ca="1" si="247"/>
        <v>1708.34248462301</v>
      </c>
      <c r="L571" s="304">
        <f t="shared" ca="1" si="232"/>
        <v>1741.1969699668716</v>
      </c>
      <c r="M571" s="306">
        <f t="shared" ca="1" si="248"/>
        <v>-1.0447525512771758</v>
      </c>
      <c r="N571" s="304">
        <f t="shared" ca="1" si="249"/>
        <v>-59.8599118237073</v>
      </c>
      <c r="P571" s="310">
        <f t="shared" ca="1" si="250"/>
        <v>23</v>
      </c>
      <c r="Q571" s="304">
        <f t="shared" ca="1" si="251"/>
        <v>0</v>
      </c>
      <c r="R571" s="306">
        <f t="shared" ca="1" si="252"/>
        <v>0</v>
      </c>
      <c r="S571" s="307">
        <f t="shared" ca="1" si="253"/>
        <v>6.8519999999999914</v>
      </c>
      <c r="T571" s="304">
        <f t="shared" ca="1" si="233"/>
        <v>67.218119999999914</v>
      </c>
      <c r="U571" s="311">
        <f t="shared" ca="1" si="234"/>
        <v>0</v>
      </c>
      <c r="V571" s="306">
        <f t="shared" ca="1" si="235"/>
        <v>1.0321967452010161</v>
      </c>
      <c r="W571" s="304">
        <f t="shared" ca="1" si="236"/>
        <v>2.0209491820086658</v>
      </c>
      <c r="Y571" s="314" t="str">
        <f t="shared" ca="1" si="254"/>
        <v/>
      </c>
      <c r="Z571" s="315" t="str">
        <f t="shared" ca="1" si="255"/>
        <v/>
      </c>
      <c r="AA571" s="316" t="str">
        <f t="shared" ca="1" si="256"/>
        <v/>
      </c>
      <c r="AC571" s="310" t="e">
        <f t="shared" ca="1" si="257"/>
        <v>#N/A</v>
      </c>
      <c r="AD571" s="323" t="e">
        <f t="shared" ca="1" si="258"/>
        <v>#N/A</v>
      </c>
      <c r="AE571" s="324">
        <f t="shared" ca="1" si="237"/>
        <v>1708.34248462301</v>
      </c>
      <c r="AG571" s="306">
        <f t="shared" ca="1" si="259"/>
        <v>8.114757971333761</v>
      </c>
      <c r="AH571" s="304">
        <f t="shared" ca="1" si="260"/>
        <v>-0.2778796041002275</v>
      </c>
    </row>
    <row r="572" spans="1:34" x14ac:dyDescent="0.2">
      <c r="A572" s="347">
        <f t="shared" ca="1" si="238"/>
        <v>0.1</v>
      </c>
      <c r="B572" s="304">
        <f t="shared" ca="1" si="239"/>
        <v>20.799999999999983</v>
      </c>
      <c r="D572" s="306">
        <f t="shared" ca="1" si="240"/>
        <v>-0.14809556173022412</v>
      </c>
      <c r="E572" s="307">
        <f t="shared" ca="1" si="241"/>
        <v>-9.5549332323120151</v>
      </c>
      <c r="F572" s="304">
        <f t="shared" ca="1" si="242"/>
        <v>9.5560808582464762</v>
      </c>
      <c r="G572" s="306">
        <f t="shared" ca="1" si="243"/>
        <v>13.998551086662509</v>
      </c>
      <c r="H572" s="307">
        <f t="shared" ca="1" si="244"/>
        <v>-25.090872951455456</v>
      </c>
      <c r="I572" s="304">
        <f t="shared" ca="1" si="245"/>
        <v>28.731713105764843</v>
      </c>
      <c r="J572" s="306">
        <f t="shared" ca="1" si="246"/>
        <v>338.05003261837527</v>
      </c>
      <c r="K572" s="307">
        <f t="shared" ca="1" si="247"/>
        <v>1705.8811719940261</v>
      </c>
      <c r="L572" s="304">
        <f t="shared" ca="1" si="232"/>
        <v>1739.053879992508</v>
      </c>
      <c r="M572" s="306">
        <f t="shared" ca="1" si="248"/>
        <v>-1.0618973648611765</v>
      </c>
      <c r="N572" s="304">
        <f t="shared" ca="1" si="249"/>
        <v>-60.842237282609098</v>
      </c>
      <c r="P572" s="310">
        <f t="shared" ca="1" si="250"/>
        <v>23</v>
      </c>
      <c r="Q572" s="304">
        <f t="shared" ca="1" si="251"/>
        <v>0</v>
      </c>
      <c r="R572" s="306">
        <f t="shared" ca="1" si="252"/>
        <v>0</v>
      </c>
      <c r="S572" s="307">
        <f t="shared" ca="1" si="253"/>
        <v>6.8519999999999914</v>
      </c>
      <c r="T572" s="304">
        <f t="shared" ca="1" si="233"/>
        <v>67.218119999999914</v>
      </c>
      <c r="U572" s="311">
        <f t="shared" ca="1" si="234"/>
        <v>0</v>
      </c>
      <c r="V572" s="306">
        <f t="shared" ca="1" si="235"/>
        <v>1.0324526973464758</v>
      </c>
      <c r="W572" s="304">
        <f t="shared" ca="1" si="236"/>
        <v>2.1424442253178229</v>
      </c>
      <c r="Y572" s="314" t="str">
        <f t="shared" ca="1" si="254"/>
        <v/>
      </c>
      <c r="Z572" s="315" t="str">
        <f t="shared" ca="1" si="255"/>
        <v/>
      </c>
      <c r="AA572" s="316" t="str">
        <f t="shared" ca="1" si="256"/>
        <v/>
      </c>
      <c r="AC572" s="310" t="e">
        <f t="shared" ca="1" si="257"/>
        <v>#N/A</v>
      </c>
      <c r="AD572" s="323" t="e">
        <f t="shared" ca="1" si="258"/>
        <v>#N/A</v>
      </c>
      <c r="AE572" s="324">
        <f t="shared" ca="1" si="237"/>
        <v>1705.8811719940261</v>
      </c>
      <c r="AG572" s="306">
        <f t="shared" ca="1" si="259"/>
        <v>8.1887481417708727</v>
      </c>
      <c r="AH572" s="304">
        <f t="shared" ca="1" si="260"/>
        <v>-0.29494296293179634</v>
      </c>
    </row>
    <row r="573" spans="1:34" x14ac:dyDescent="0.2">
      <c r="A573" s="347">
        <f t="shared" ca="1" si="238"/>
        <v>0.1</v>
      </c>
      <c r="B573" s="304">
        <f t="shared" ca="1" si="239"/>
        <v>20.899999999999984</v>
      </c>
      <c r="D573" s="306">
        <f t="shared" ca="1" si="240"/>
        <v>-0.15233992438928787</v>
      </c>
      <c r="E573" s="307">
        <f t="shared" ca="1" si="241"/>
        <v>-9.5369473344332203</v>
      </c>
      <c r="F573" s="304">
        <f t="shared" ca="1" si="242"/>
        <v>9.5381639696702543</v>
      </c>
      <c r="G573" s="306">
        <f t="shared" ca="1" si="243"/>
        <v>13.98331709422358</v>
      </c>
      <c r="H573" s="307">
        <f t="shared" ca="1" si="244"/>
        <v>-26.044567684898777</v>
      </c>
      <c r="I573" s="304">
        <f t="shared" ca="1" si="245"/>
        <v>29.56099901645543</v>
      </c>
      <c r="J573" s="306">
        <f t="shared" ca="1" si="246"/>
        <v>339.4491260274196</v>
      </c>
      <c r="K573" s="307">
        <f t="shared" ca="1" si="247"/>
        <v>1703.3243999622084</v>
      </c>
      <c r="L573" s="304">
        <f t="shared" ca="1" si="232"/>
        <v>1736.8188508498508</v>
      </c>
      <c r="M573" s="306">
        <f t="shared" ca="1" si="248"/>
        <v>-1.0780666339985419</v>
      </c>
      <c r="N573" s="304">
        <f t="shared" ca="1" si="249"/>
        <v>-61.768668161991272</v>
      </c>
      <c r="P573" s="310">
        <f t="shared" ca="1" si="250"/>
        <v>23</v>
      </c>
      <c r="Q573" s="304">
        <f t="shared" ca="1" si="251"/>
        <v>0</v>
      </c>
      <c r="R573" s="306">
        <f t="shared" ca="1" si="252"/>
        <v>0</v>
      </c>
      <c r="S573" s="307">
        <f t="shared" ca="1" si="253"/>
        <v>6.8519999999999914</v>
      </c>
      <c r="T573" s="304">
        <f t="shared" ca="1" si="233"/>
        <v>67.218119999999914</v>
      </c>
      <c r="U573" s="311">
        <f t="shared" ca="1" si="234"/>
        <v>0</v>
      </c>
      <c r="V573" s="306">
        <f t="shared" ca="1" si="235"/>
        <v>1.0327186377993467</v>
      </c>
      <c r="W573" s="304">
        <f t="shared" ca="1" si="236"/>
        <v>2.2684883220008425</v>
      </c>
      <c r="Y573" s="314" t="str">
        <f t="shared" ca="1" si="254"/>
        <v/>
      </c>
      <c r="Z573" s="315" t="str">
        <f t="shared" ca="1" si="255"/>
        <v/>
      </c>
      <c r="AA573" s="316" t="str">
        <f t="shared" ca="1" si="256"/>
        <v/>
      </c>
      <c r="AC573" s="310" t="e">
        <f t="shared" ca="1" si="257"/>
        <v>#N/A</v>
      </c>
      <c r="AD573" s="323" t="e">
        <f t="shared" ca="1" si="258"/>
        <v>#N/A</v>
      </c>
      <c r="AE573" s="324">
        <f t="shared" ca="1" si="237"/>
        <v>1703.3243999622084</v>
      </c>
      <c r="AG573" s="306">
        <f t="shared" ca="1" si="259"/>
        <v>8.2542170327915354</v>
      </c>
      <c r="AH573" s="304">
        <f t="shared" ca="1" si="260"/>
        <v>-0.31267428857528101</v>
      </c>
    </row>
    <row r="574" spans="1:34" x14ac:dyDescent="0.2">
      <c r="A574" s="347">
        <f t="shared" ca="1" si="238"/>
        <v>0.1</v>
      </c>
      <c r="B574" s="304">
        <f t="shared" ca="1" si="239"/>
        <v>20.999999999999986</v>
      </c>
      <c r="D574" s="306">
        <f t="shared" ca="1" si="240"/>
        <v>-0.15660668357497978</v>
      </c>
      <c r="E574" s="307">
        <f t="shared" ca="1" si="241"/>
        <v>-9.5183128886520798</v>
      </c>
      <c r="F574" s="304">
        <f t="shared" ca="1" si="242"/>
        <v>9.5196011418347055</v>
      </c>
      <c r="G574" s="306">
        <f t="shared" ca="1" si="243"/>
        <v>13.967656425866082</v>
      </c>
      <c r="H574" s="307">
        <f t="shared" ca="1" si="244"/>
        <v>-26.996398973763984</v>
      </c>
      <c r="I574" s="304">
        <f t="shared" ca="1" si="245"/>
        <v>30.395739562999339</v>
      </c>
      <c r="J574" s="306">
        <f t="shared" ca="1" si="246"/>
        <v>340.84667470342407</v>
      </c>
      <c r="K574" s="307">
        <f t="shared" ca="1" si="247"/>
        <v>1700.6723516292752</v>
      </c>
      <c r="L574" s="304">
        <f t="shared" ca="1" si="232"/>
        <v>1734.4921168032533</v>
      </c>
      <c r="M574" s="306">
        <f t="shared" ca="1" si="248"/>
        <v>-1.0933340051578078</v>
      </c>
      <c r="N574" s="304">
        <f t="shared" ca="1" si="249"/>
        <v>-62.643424093676963</v>
      </c>
      <c r="P574" s="310">
        <f t="shared" ca="1" si="250"/>
        <v>23</v>
      </c>
      <c r="Q574" s="304">
        <f t="shared" ca="1" si="251"/>
        <v>0</v>
      </c>
      <c r="R574" s="306">
        <f t="shared" ca="1" si="252"/>
        <v>0</v>
      </c>
      <c r="S574" s="307">
        <f t="shared" ca="1" si="253"/>
        <v>6.8519999999999914</v>
      </c>
      <c r="T574" s="304">
        <f t="shared" ca="1" si="233"/>
        <v>67.218119999999914</v>
      </c>
      <c r="U574" s="311">
        <f t="shared" ca="1" si="234"/>
        <v>0</v>
      </c>
      <c r="V574" s="306">
        <f t="shared" ca="1" si="235"/>
        <v>1.0329945545475741</v>
      </c>
      <c r="W574" s="304">
        <f t="shared" ca="1" si="236"/>
        <v>2.3990526577062616</v>
      </c>
      <c r="Y574" s="314" t="str">
        <f t="shared" ca="1" si="254"/>
        <v/>
      </c>
      <c r="Z574" s="315" t="str">
        <f t="shared" ca="1" si="255"/>
        <v/>
      </c>
      <c r="AA574" s="316" t="str">
        <f t="shared" ca="1" si="256"/>
        <v/>
      </c>
      <c r="AC574" s="310">
        <f t="shared" ca="1" si="257"/>
        <v>20.999999999999986</v>
      </c>
      <c r="AD574" s="323">
        <f t="shared" ca="1" si="258"/>
        <v>340.84667470342407</v>
      </c>
      <c r="AE574" s="324">
        <f t="shared" ca="1" si="237"/>
        <v>1700.6723516292752</v>
      </c>
      <c r="AG574" s="306">
        <f t="shared" ca="1" si="259"/>
        <v>8.3119810403654668</v>
      </c>
      <c r="AH574" s="304">
        <f t="shared" ca="1" si="260"/>
        <v>-0.33106951576194471</v>
      </c>
    </row>
    <row r="575" spans="1:34" x14ac:dyDescent="0.2">
      <c r="A575" s="347">
        <f t="shared" ca="1" si="238"/>
        <v>0.1</v>
      </c>
      <c r="B575" s="304">
        <f t="shared" ca="1" si="239"/>
        <v>21.099999999999987</v>
      </c>
      <c r="D575" s="306">
        <f t="shared" ca="1" si="240"/>
        <v>-0.16089155730315932</v>
      </c>
      <c r="E575" s="307">
        <f t="shared" ca="1" si="241"/>
        <v>-9.4990321081765181</v>
      </c>
      <c r="F575" s="304">
        <f t="shared" ca="1" si="242"/>
        <v>9.5003945752468546</v>
      </c>
      <c r="G575" s="306">
        <f t="shared" ca="1" si="243"/>
        <v>13.951567270135765</v>
      </c>
      <c r="H575" s="307">
        <f t="shared" ca="1" si="244"/>
        <v>-27.946302184581636</v>
      </c>
      <c r="I575" s="304">
        <f t="shared" ca="1" si="245"/>
        <v>31.235269089365563</v>
      </c>
      <c r="J575" s="306">
        <f t="shared" ca="1" si="246"/>
        <v>342.24263588822419</v>
      </c>
      <c r="K575" s="307">
        <f t="shared" ca="1" si="247"/>
        <v>1697.9252165713579</v>
      </c>
      <c r="L575" s="304">
        <f t="shared" ca="1" si="232"/>
        <v>1732.0739195798233</v>
      </c>
      <c r="M575" s="306">
        <f t="shared" ca="1" si="248"/>
        <v>-1.1077667742159842</v>
      </c>
      <c r="N575" s="304">
        <f t="shared" ca="1" si="249"/>
        <v>-63.47036084739748</v>
      </c>
      <c r="P575" s="310">
        <f t="shared" ca="1" si="250"/>
        <v>23</v>
      </c>
      <c r="Q575" s="304">
        <f t="shared" ca="1" si="251"/>
        <v>0</v>
      </c>
      <c r="R575" s="306">
        <f t="shared" ca="1" si="252"/>
        <v>0</v>
      </c>
      <c r="S575" s="307">
        <f t="shared" ca="1" si="253"/>
        <v>6.8519999999999914</v>
      </c>
      <c r="T575" s="304">
        <f t="shared" ca="1" si="233"/>
        <v>67.218119999999914</v>
      </c>
      <c r="U575" s="311">
        <f t="shared" ca="1" si="234"/>
        <v>0</v>
      </c>
      <c r="V575" s="306">
        <f t="shared" ca="1" si="235"/>
        <v>1.0332804351531837</v>
      </c>
      <c r="W575" s="304">
        <f t="shared" ca="1" si="236"/>
        <v>2.5341074671974901</v>
      </c>
      <c r="Y575" s="314" t="str">
        <f t="shared" ca="1" si="254"/>
        <v/>
      </c>
      <c r="Z575" s="315" t="str">
        <f t="shared" ca="1" si="255"/>
        <v/>
      </c>
      <c r="AA575" s="316" t="str">
        <f t="shared" ca="1" si="256"/>
        <v/>
      </c>
      <c r="AC575" s="310" t="e">
        <f t="shared" ca="1" si="257"/>
        <v>#N/A</v>
      </c>
      <c r="AD575" s="323" t="e">
        <f t="shared" ca="1" si="258"/>
        <v>#N/A</v>
      </c>
      <c r="AE575" s="324">
        <f t="shared" ca="1" si="237"/>
        <v>1697.9252165713579</v>
      </c>
      <c r="AG575" s="306">
        <f t="shared" ca="1" si="259"/>
        <v>8.3627635424315301</v>
      </c>
      <c r="AH575" s="304">
        <f t="shared" ca="1" si="260"/>
        <v>-0.35012443924493064</v>
      </c>
    </row>
    <row r="576" spans="1:34" x14ac:dyDescent="0.2">
      <c r="A576" s="347">
        <f t="shared" ca="1" si="238"/>
        <v>0.1</v>
      </c>
      <c r="B576" s="304">
        <f t="shared" ca="1" si="239"/>
        <v>21.199999999999989</v>
      </c>
      <c r="D576" s="306">
        <f t="shared" ca="1" si="240"/>
        <v>-0.1651906340370321</v>
      </c>
      <c r="E576" s="307">
        <f t="shared" ca="1" si="241"/>
        <v>-9.4791076144009008</v>
      </c>
      <c r="F576" s="304">
        <f t="shared" ca="1" si="242"/>
        <v>9.4805468782642865</v>
      </c>
      <c r="G576" s="306">
        <f t="shared" ca="1" si="243"/>
        <v>13.935048206732063</v>
      </c>
      <c r="H576" s="307">
        <f t="shared" ca="1" si="244"/>
        <v>-28.894212946021728</v>
      </c>
      <c r="I576" s="304">
        <f t="shared" ca="1" si="245"/>
        <v>32.078982376222534</v>
      </c>
      <c r="J576" s="306">
        <f t="shared" ca="1" si="246"/>
        <v>343.63696666206755</v>
      </c>
      <c r="K576" s="307">
        <f t="shared" ca="1" si="247"/>
        <v>1695.0831908148277</v>
      </c>
      <c r="L576" s="304">
        <f t="shared" ca="1" si="232"/>
        <v>1729.5645083776681</v>
      </c>
      <c r="M576" s="306">
        <f t="shared" ca="1" si="248"/>
        <v>-1.1214264274942789</v>
      </c>
      <c r="N576" s="304">
        <f t="shared" ca="1" si="249"/>
        <v>-64.253001329855806</v>
      </c>
      <c r="P576" s="310">
        <f t="shared" ca="1" si="250"/>
        <v>23</v>
      </c>
      <c r="Q576" s="304">
        <f t="shared" ca="1" si="251"/>
        <v>0</v>
      </c>
      <c r="R576" s="306">
        <f t="shared" ca="1" si="252"/>
        <v>0</v>
      </c>
      <c r="S576" s="307">
        <f t="shared" ca="1" si="253"/>
        <v>6.8519999999999914</v>
      </c>
      <c r="T576" s="304">
        <f t="shared" ca="1" si="233"/>
        <v>67.218119999999914</v>
      </c>
      <c r="U576" s="311">
        <f t="shared" ca="1" si="234"/>
        <v>0</v>
      </c>
      <c r="V576" s="306">
        <f t="shared" ca="1" si="235"/>
        <v>1.0335762667527089</v>
      </c>
      <c r="W576" s="304">
        <f t="shared" ca="1" si="236"/>
        <v>2.6736220435785638</v>
      </c>
      <c r="Y576" s="314" t="str">
        <f t="shared" ca="1" si="254"/>
        <v/>
      </c>
      <c r="Z576" s="315" t="str">
        <f t="shared" ca="1" si="255"/>
        <v/>
      </c>
      <c r="AA576" s="316" t="str">
        <f t="shared" ca="1" si="256"/>
        <v/>
      </c>
      <c r="AC576" s="310" t="e">
        <f t="shared" ca="1" si="257"/>
        <v>#N/A</v>
      </c>
      <c r="AD576" s="323" t="e">
        <f t="shared" ca="1" si="258"/>
        <v>#N/A</v>
      </c>
      <c r="AE576" s="324">
        <f t="shared" ca="1" si="237"/>
        <v>1695.0831908148277</v>
      </c>
      <c r="AG576" s="306">
        <f t="shared" ca="1" si="259"/>
        <v>8.4072058683963178</v>
      </c>
      <c r="AH576" s="304">
        <f t="shared" ca="1" si="260"/>
        <v>-0.36983471500255305</v>
      </c>
    </row>
    <row r="577" spans="1:34" x14ac:dyDescent="0.2">
      <c r="A577" s="347">
        <f t="shared" ca="1" si="238"/>
        <v>0.1</v>
      </c>
      <c r="B577" s="304">
        <f t="shared" ca="1" si="239"/>
        <v>21.29999999999999</v>
      </c>
      <c r="D577" s="306">
        <f t="shared" ca="1" si="240"/>
        <v>-0.16950033132225681</v>
      </c>
      <c r="E577" s="307">
        <f t="shared" ca="1" si="241"/>
        <v>-9.458542395046722</v>
      </c>
      <c r="F577" s="304">
        <f t="shared" ca="1" si="242"/>
        <v>9.4600610252373389</v>
      </c>
      <c r="G577" s="306">
        <f t="shared" ca="1" si="243"/>
        <v>13.918098173599837</v>
      </c>
      <c r="H577" s="307">
        <f t="shared" ca="1" si="244"/>
        <v>-29.840067185526401</v>
      </c>
      <c r="I577" s="304">
        <f t="shared" ca="1" si="245"/>
        <v>32.926327860948795</v>
      </c>
      <c r="J577" s="306">
        <f t="shared" ca="1" si="246"/>
        <v>345.02962398108417</v>
      </c>
      <c r="K577" s="307">
        <f t="shared" ca="1" si="247"/>
        <v>1692.1464768082503</v>
      </c>
      <c r="L577" s="304">
        <f t="shared" ca="1" si="232"/>
        <v>1726.9641398706294</v>
      </c>
      <c r="M577" s="306">
        <f t="shared" ca="1" si="248"/>
        <v>-1.1343691525861868</v>
      </c>
      <c r="N577" s="304">
        <f t="shared" ca="1" si="249"/>
        <v>-64.994564853020194</v>
      </c>
      <c r="P577" s="310">
        <f t="shared" ca="1" si="250"/>
        <v>23</v>
      </c>
      <c r="Q577" s="304">
        <f t="shared" ca="1" si="251"/>
        <v>0</v>
      </c>
      <c r="R577" s="306">
        <f t="shared" ca="1" si="252"/>
        <v>0</v>
      </c>
      <c r="S577" s="307">
        <f t="shared" ca="1" si="253"/>
        <v>6.8519999999999914</v>
      </c>
      <c r="T577" s="304">
        <f t="shared" ca="1" si="233"/>
        <v>67.218119999999914</v>
      </c>
      <c r="U577" s="311">
        <f t="shared" ca="1" si="234"/>
        <v>0</v>
      </c>
      <c r="V577" s="306">
        <f t="shared" ca="1" si="235"/>
        <v>1.0338820360579541</v>
      </c>
      <c r="W577" s="304">
        <f t="shared" ca="1" si="236"/>
        <v>2.8175647484044632</v>
      </c>
      <c r="Y577" s="314" t="str">
        <f t="shared" ca="1" si="254"/>
        <v/>
      </c>
      <c r="Z577" s="315" t="str">
        <f t="shared" ca="1" si="255"/>
        <v/>
      </c>
      <c r="AA577" s="316" t="str">
        <f t="shared" ca="1" si="256"/>
        <v/>
      </c>
      <c r="AC577" s="310" t="e">
        <f t="shared" ca="1" si="257"/>
        <v>#N/A</v>
      </c>
      <c r="AD577" s="323" t="e">
        <f t="shared" ca="1" si="258"/>
        <v>#N/A</v>
      </c>
      <c r="AE577" s="324">
        <f t="shared" ca="1" si="237"/>
        <v>1692.1464768082503</v>
      </c>
      <c r="AG577" s="306">
        <f t="shared" ca="1" si="259"/>
        <v>8.4458771059472006</v>
      </c>
      <c r="AH577" s="304">
        <f t="shared" ca="1" si="260"/>
        <v>-0.39019586158472958</v>
      </c>
    </row>
    <row r="578" spans="1:34" x14ac:dyDescent="0.2">
      <c r="A578" s="347">
        <f t="shared" ca="1" si="238"/>
        <v>0.1</v>
      </c>
      <c r="B578" s="304">
        <f t="shared" ca="1" si="239"/>
        <v>21.399999999999991</v>
      </c>
      <c r="D578" s="306">
        <f t="shared" ca="1" si="240"/>
        <v>-0.17381735941714621</v>
      </c>
      <c r="E578" s="307">
        <f t="shared" ca="1" si="241"/>
        <v>-9.437339768815777</v>
      </c>
      <c r="F578" s="304">
        <f t="shared" ca="1" si="242"/>
        <v>9.4389403211645835</v>
      </c>
      <c r="G578" s="306">
        <f t="shared" ca="1" si="243"/>
        <v>13.900716437658122</v>
      </c>
      <c r="H578" s="307">
        <f t="shared" ca="1" si="244"/>
        <v>-30.783801162407979</v>
      </c>
      <c r="I578" s="304">
        <f t="shared" ca="1" si="245"/>
        <v>33.776801676399877</v>
      </c>
      <c r="J578" s="306">
        <f t="shared" ca="1" si="246"/>
        <v>346.42056471164705</v>
      </c>
      <c r="K578" s="307">
        <f t="shared" ca="1" si="247"/>
        <v>1689.1152833908536</v>
      </c>
      <c r="L578" s="304">
        <f t="shared" ca="1" si="232"/>
        <v>1724.2730782099743</v>
      </c>
      <c r="M578" s="306">
        <f t="shared" ca="1" si="248"/>
        <v>-1.1466463147106545</v>
      </c>
      <c r="N578" s="304">
        <f t="shared" ca="1" si="249"/>
        <v>-65.697994427150064</v>
      </c>
      <c r="P578" s="310">
        <f t="shared" ca="1" si="250"/>
        <v>23</v>
      </c>
      <c r="Q578" s="304">
        <f t="shared" ca="1" si="251"/>
        <v>0</v>
      </c>
      <c r="R578" s="306">
        <f t="shared" ca="1" si="252"/>
        <v>0</v>
      </c>
      <c r="S578" s="307">
        <f t="shared" ca="1" si="253"/>
        <v>6.8519999999999914</v>
      </c>
      <c r="T578" s="304">
        <f t="shared" ca="1" si="233"/>
        <v>67.218119999999914</v>
      </c>
      <c r="U578" s="311">
        <f t="shared" ca="1" si="234"/>
        <v>0</v>
      </c>
      <c r="V578" s="306">
        <f t="shared" ca="1" si="235"/>
        <v>1.0341977293570546</v>
      </c>
      <c r="W578" s="304">
        <f t="shared" ca="1" si="236"/>
        <v>2.9659030225939427</v>
      </c>
      <c r="Y578" s="314" t="str">
        <f t="shared" ca="1" si="254"/>
        <v/>
      </c>
      <c r="Z578" s="315" t="str">
        <f t="shared" ca="1" si="255"/>
        <v/>
      </c>
      <c r="AA578" s="316" t="str">
        <f t="shared" ca="1" si="256"/>
        <v/>
      </c>
      <c r="AC578" s="310" t="e">
        <f t="shared" ca="1" si="257"/>
        <v>#N/A</v>
      </c>
      <c r="AD578" s="323" t="e">
        <f t="shared" ca="1" si="258"/>
        <v>#N/A</v>
      </c>
      <c r="AE578" s="324">
        <f t="shared" ca="1" si="237"/>
        <v>1689.1152833908536</v>
      </c>
      <c r="AG578" s="306">
        <f t="shared" ca="1" si="259"/>
        <v>8.4792828055565064</v>
      </c>
      <c r="AH578" s="304">
        <f t="shared" ca="1" si="260"/>
        <v>-0.41120326158850945</v>
      </c>
    </row>
    <row r="579" spans="1:34" x14ac:dyDescent="0.2">
      <c r="A579" s="347">
        <f t="shared" ca="1" si="238"/>
        <v>0.1</v>
      </c>
      <c r="B579" s="304">
        <f t="shared" ca="1" si="239"/>
        <v>21.499999999999993</v>
      </c>
      <c r="D579" s="306">
        <f t="shared" ca="1" si="240"/>
        <v>-0.17813868934130853</v>
      </c>
      <c r="E579" s="307">
        <f t="shared" ca="1" si="241"/>
        <v>-9.4155033554127616</v>
      </c>
      <c r="F579" s="304">
        <f t="shared" ca="1" si="242"/>
        <v>9.417188371718451</v>
      </c>
      <c r="G579" s="306">
        <f t="shared" ca="1" si="243"/>
        <v>13.882902568723992</v>
      </c>
      <c r="H579" s="307">
        <f t="shared" ca="1" si="244"/>
        <v>-31.725351497949255</v>
      </c>
      <c r="I579" s="304">
        <f t="shared" ca="1" si="245"/>
        <v>34.629942411172365</v>
      </c>
      <c r="J579" s="306">
        <f t="shared" ca="1" si="246"/>
        <v>347.80974566196613</v>
      </c>
      <c r="K579" s="307">
        <f t="shared" ca="1" si="247"/>
        <v>1685.9898257578357</v>
      </c>
      <c r="L579" s="304">
        <f t="shared" ca="1" si="232"/>
        <v>1721.491595023449</v>
      </c>
      <c r="M579" s="306">
        <f t="shared" ca="1" si="248"/>
        <v>-1.158304896850336</v>
      </c>
      <c r="N579" s="304">
        <f t="shared" ca="1" si="249"/>
        <v>-66.365981978860418</v>
      </c>
      <c r="P579" s="310">
        <f t="shared" ca="1" si="250"/>
        <v>23</v>
      </c>
      <c r="Q579" s="304">
        <f t="shared" ca="1" si="251"/>
        <v>0</v>
      </c>
      <c r="R579" s="306">
        <f t="shared" ca="1" si="252"/>
        <v>0</v>
      </c>
      <c r="S579" s="307">
        <f t="shared" ca="1" si="253"/>
        <v>6.8519999999999914</v>
      </c>
      <c r="T579" s="304">
        <f t="shared" ca="1" si="233"/>
        <v>67.218119999999914</v>
      </c>
      <c r="U579" s="311">
        <f t="shared" ca="1" si="234"/>
        <v>0</v>
      </c>
      <c r="V579" s="306">
        <f t="shared" ca="1" si="235"/>
        <v>1.0345233325157965</v>
      </c>
      <c r="W579" s="304">
        <f t="shared" ca="1" si="236"/>
        <v>3.1186033980744527</v>
      </c>
      <c r="Y579" s="314" t="str">
        <f t="shared" ca="1" si="254"/>
        <v/>
      </c>
      <c r="Z579" s="315" t="str">
        <f t="shared" ca="1" si="255"/>
        <v/>
      </c>
      <c r="AA579" s="316" t="str">
        <f t="shared" ca="1" si="256"/>
        <v/>
      </c>
      <c r="AC579" s="310" t="e">
        <f t="shared" ca="1" si="257"/>
        <v>#N/A</v>
      </c>
      <c r="AD579" s="323" t="e">
        <f t="shared" ca="1" si="258"/>
        <v>#N/A</v>
      </c>
      <c r="AE579" s="324">
        <f t="shared" ca="1" si="237"/>
        <v>1685.9898257578357</v>
      </c>
      <c r="AG579" s="306">
        <f t="shared" ca="1" si="259"/>
        <v>8.5078726660697654</v>
      </c>
      <c r="AH579" s="304">
        <f t="shared" ca="1" si="260"/>
        <v>-0.4328521632507219</v>
      </c>
    </row>
    <row r="580" spans="1:34" x14ac:dyDescent="0.2">
      <c r="A580" s="347">
        <f t="shared" ca="1" si="238"/>
        <v>0.1</v>
      </c>
      <c r="B580" s="304">
        <f t="shared" ca="1" si="239"/>
        <v>21.599999999999994</v>
      </c>
      <c r="D580" s="306">
        <f t="shared" ca="1" si="240"/>
        <v>-0.18246152481528974</v>
      </c>
      <c r="E580" s="307">
        <f t="shared" ca="1" si="241"/>
        <v>-9.3930370500000642</v>
      </c>
      <c r="F580" s="304">
        <f t="shared" ca="1" si="242"/>
        <v>9.3948090577037178</v>
      </c>
      <c r="G580" s="306">
        <f t="shared" ca="1" si="243"/>
        <v>13.864656416242463</v>
      </c>
      <c r="H580" s="307">
        <f t="shared" ca="1" si="244"/>
        <v>-32.664655202949263</v>
      </c>
      <c r="I580" s="304">
        <f t="shared" ca="1" si="245"/>
        <v>35.485326503612924</v>
      </c>
      <c r="J580" s="306">
        <f t="shared" ca="1" si="246"/>
        <v>349.19712361121447</v>
      </c>
      <c r="K580" s="307">
        <f t="shared" ca="1" si="247"/>
        <v>1682.7703254227908</v>
      </c>
      <c r="L580" s="304">
        <f t="shared" ref="L580:L643" ca="1" si="261">SQRT(pos_x^2+pos_z^2)</f>
        <v>1718.6199694120487</v>
      </c>
      <c r="M580" s="306">
        <f t="shared" ca="1" si="248"/>
        <v>-1.1693879036385015</v>
      </c>
      <c r="N580" s="304">
        <f t="shared" ca="1" si="249"/>
        <v>-67.000991492137146</v>
      </c>
      <c r="P580" s="310">
        <f t="shared" ca="1" si="250"/>
        <v>23</v>
      </c>
      <c r="Q580" s="304">
        <f t="shared" ca="1" si="251"/>
        <v>0</v>
      </c>
      <c r="R580" s="306">
        <f t="shared" ca="1" si="252"/>
        <v>0</v>
      </c>
      <c r="S580" s="307">
        <f t="shared" ca="1" si="253"/>
        <v>6.8519999999999914</v>
      </c>
      <c r="T580" s="304">
        <f t="shared" ref="T580:T643" ca="1" si="262">m*g</f>
        <v>67.218119999999914</v>
      </c>
      <c r="U580" s="311">
        <f t="shared" ref="U580:U643" ca="1" si="263">IF(pos_xz&lt;L_rampe,Poids*COS(Beta),0)</f>
        <v>0</v>
      </c>
      <c r="V580" s="306">
        <f t="shared" ref="V580:V643" ca="1" si="264">Rho_moyen*(20000-Alt_rampe-pos_z)/(20000+Alt_rampe+pos_z)</f>
        <v>1.0348588309791802</v>
      </c>
      <c r="W580" s="304">
        <f t="shared" ref="W580:W643" ca="1" si="265">1/2*Rho*Sref*Cx*vit_xz^2</f>
        <v>3.275631510098298</v>
      </c>
      <c r="Y580" s="314" t="str">
        <f t="shared" ca="1" si="254"/>
        <v/>
      </c>
      <c r="Z580" s="315" t="str">
        <f t="shared" ca="1" si="255"/>
        <v/>
      </c>
      <c r="AA580" s="316" t="str">
        <f t="shared" ca="1" si="256"/>
        <v/>
      </c>
      <c r="AC580" s="310" t="e">
        <f t="shared" ca="1" si="257"/>
        <v>#N/A</v>
      </c>
      <c r="AD580" s="323" t="e">
        <f t="shared" ca="1" si="258"/>
        <v>#N/A</v>
      </c>
      <c r="AE580" s="324">
        <f t="shared" ref="AE580:AE643" ca="1" si="266">IF(t&lt;T_para, pos_z, NA())</f>
        <v>1682.7703254227908</v>
      </c>
      <c r="AG580" s="306">
        <f t="shared" ca="1" si="259"/>
        <v>8.5320472949339283</v>
      </c>
      <c r="AH580" s="304">
        <f t="shared" ca="1" si="260"/>
        <v>-0.45513768214746886</v>
      </c>
    </row>
    <row r="581" spans="1:34" x14ac:dyDescent="0.2">
      <c r="A581" s="347">
        <f t="shared" ref="A581:A644" ca="1" si="267">IF(B580+0.01&lt;=T_ini+ROUNDUP(Temps_fin_propu,0), 0.01, IF(K580&gt;0, 0.1, 0.0001))</f>
        <v>0.1</v>
      </c>
      <c r="B581" s="304">
        <f t="shared" ref="B581:B644" ca="1" si="268">B580+pas</f>
        <v>21.699999999999996</v>
      </c>
      <c r="D581" s="306">
        <f t="shared" ref="D581:D644" ca="1" si="269">IF(AND(L580&lt;L_rampe,Poussee&lt;Poids*SIN(M580)),0,(-W580+Poussee)/m*COS(M580)-U580/m*SIN(M580))</f>
        <v>-0.18678327761583072</v>
      </c>
      <c r="E581" s="307">
        <f t="shared" ref="E581:E644" ca="1" si="270">IF(AND(L580&lt;L_rampe,Poussee&lt;Poids*SIN(M580)),0,(-W580+Poussee)/m*SIN(M580)+U580/m*COS(M580)-Poids/m)</f>
        <v>-9.3699450013164203</v>
      </c>
      <c r="F581" s="304">
        <f t="shared" ref="F581:F644" ca="1" si="271">SQRT(acc_x^2+acc_z^2)</f>
        <v>9.3718065131804487</v>
      </c>
      <c r="G581" s="306">
        <f t="shared" ref="G581:G644" ca="1" si="272">G580+acc_x*pas</f>
        <v>13.84597808848088</v>
      </c>
      <c r="H581" s="307">
        <f t="shared" ref="H581:H644" ca="1" si="273">H580+acc_z*pas</f>
        <v>-33.601649703080902</v>
      </c>
      <c r="I581" s="304">
        <f t="shared" ref="I581:I644" ca="1" si="274">SQRT(vit_x^2+vit_z^2)</f>
        <v>36.342564191251689</v>
      </c>
      <c r="J581" s="306">
        <f t="shared" ref="J581:J644" ca="1" si="275">J580+0.5*(vit_x+G580)*pas*(K580&gt;=0)</f>
        <v>350.58265533645061</v>
      </c>
      <c r="K581" s="307">
        <f t="shared" ref="K581:K644" ca="1" si="276">K580+0.5*(vit_z+H580)*pas</f>
        <v>1679.4570101774893</v>
      </c>
      <c r="L581" s="304">
        <f t="shared" ca="1" si="261"/>
        <v>1715.6584879448089</v>
      </c>
      <c r="M581" s="306">
        <f t="shared" ref="M581:M644" ca="1" si="277">IF(AND(L580&gt;L_rampe,G581&gt;0),ATAN2(G581,H581),$M$4)</f>
        <v>-1.1799347300678964</v>
      </c>
      <c r="N581" s="304">
        <f t="shared" ref="N581:N644" ca="1" si="278">DEGREES(Beta)</f>
        <v>-67.605280133798502</v>
      </c>
      <c r="P581" s="310">
        <f t="shared" ref="P581:P644" ca="1" si="279">MATCH(t-pas/2-T_ini,CdP_t)</f>
        <v>23</v>
      </c>
      <c r="Q581" s="304">
        <f t="shared" ref="Q581:Q644" ca="1" si="280">(INDEX(CdP,2,i_P+1)-INDEX(CdP,2,i_P+0))/(INDEX(CdP,1,i_P+1)-INDEX(CdP,1,i_P+0))*(t-pas/2-T_ini-INDEX(CdP,1,i_P+0))+INDEX(CdP,2,i_P+0)</f>
        <v>0</v>
      </c>
      <c r="R581" s="306">
        <f t="shared" ref="R581:R644" ca="1" si="281">Poussee/(g*ISP)</f>
        <v>0</v>
      </c>
      <c r="S581" s="307">
        <f t="shared" ref="S581:S644" ca="1" si="282">S580-Débit*pas</f>
        <v>6.8519999999999914</v>
      </c>
      <c r="T581" s="304">
        <f t="shared" ca="1" si="262"/>
        <v>67.218119999999914</v>
      </c>
      <c r="U581" s="311">
        <f t="shared" ca="1" si="263"/>
        <v>0</v>
      </c>
      <c r="V581" s="306">
        <f t="shared" ca="1" si="264"/>
        <v>1.0352042097731877</v>
      </c>
      <c r="W581" s="304">
        <f t="shared" ca="1" si="265"/>
        <v>3.4369521101770801</v>
      </c>
      <c r="Y581" s="314" t="str">
        <f t="shared" ref="Y581:Y644" ca="1" si="283">IF(AND(pos_z&lt;=0,K580&gt;0),"Impact balistique","") &amp; IF(AND(H582&lt;0,vit_z&gt;=0),"Apogée","") &amp; IF(AND(Poussee=0,Q580&gt;0),"Fin de propulsion","") &amp; IF(AND(L582&gt;L_rampe,pos_xz&lt;=L_rampe),"Sortie de rampe","")</f>
        <v/>
      </c>
      <c r="Z581" s="315" t="str">
        <f t="shared" ref="Z581:Z644" ca="1" si="284">IF(ABS(t-T_para)&lt;pas/2,"Para","")</f>
        <v/>
      </c>
      <c r="AA581" s="316" t="str">
        <f t="shared" ref="AA581:AA644" ca="1" si="285">IF(ABS(t-T_satellite)&lt;pas/2,"Satellite","")</f>
        <v/>
      </c>
      <c r="AC581" s="310" t="e">
        <f t="shared" ref="AC581:AC644" ca="1" si="286">IF(ABS(t-ROUND(t,0))&lt;0.001,t,NA())</f>
        <v>#N/A</v>
      </c>
      <c r="AD581" s="323" t="e">
        <f t="shared" ref="AD581:AD644" ca="1" si="287">IF(ABS(t-ROUND(t,0))&lt;0.001,pos_x,NA())</f>
        <v>#N/A</v>
      </c>
      <c r="AE581" s="324">
        <f t="shared" ca="1" si="266"/>
        <v>1679.4570101774893</v>
      </c>
      <c r="AG581" s="306">
        <f t="shared" ref="AG581:AG644" ca="1" si="288">IF(AND(L580&lt;L_rampe,Poussee&lt;Poids*SIN(M580)),0,(-W580+Poussee)/m-Poids*SIN(M580)/m)</f>
        <v>8.5521641385843647</v>
      </c>
      <c r="AH581" s="304">
        <f t="shared" ref="AH581:AH644" ca="1" si="289">IF(AND(L580&lt;L_rampe,Poussee&lt;Poids*SIN(M580)), g*SIN(M580), (-W580+Poussee)/m)</f>
        <v>-0.47805480299157943</v>
      </c>
    </row>
    <row r="582" spans="1:34" x14ac:dyDescent="0.2">
      <c r="A582" s="347">
        <f t="shared" ca="1" si="267"/>
        <v>0.1</v>
      </c>
      <c r="B582" s="304">
        <f t="shared" ca="1" si="268"/>
        <v>21.799999999999997</v>
      </c>
      <c r="D582" s="306">
        <f t="shared" ca="1" si="269"/>
        <v>-0.19110154592282011</v>
      </c>
      <c r="E582" s="307">
        <f t="shared" ca="1" si="270"/>
        <v>-9.3462315928292536</v>
      </c>
      <c r="F582" s="304">
        <f t="shared" ca="1" si="271"/>
        <v>9.3481851066211643</v>
      </c>
      <c r="G582" s="306">
        <f t="shared" ca="1" si="272"/>
        <v>13.826867933888598</v>
      </c>
      <c r="H582" s="307">
        <f t="shared" ca="1" si="273"/>
        <v>-34.53627286236383</v>
      </c>
      <c r="I582" s="304">
        <f t="shared" ca="1" si="274"/>
        <v>37.201295946308711</v>
      </c>
      <c r="J582" s="306">
        <f t="shared" ca="1" si="275"/>
        <v>351.96629763756908</v>
      </c>
      <c r="K582" s="307">
        <f t="shared" ca="1" si="276"/>
        <v>1676.0501140492172</v>
      </c>
      <c r="L582" s="304">
        <f t="shared" ca="1" si="261"/>
        <v>1712.6074446518944</v>
      </c>
      <c r="M582" s="306">
        <f t="shared" ca="1" si="277"/>
        <v>-1.1899814967818658</v>
      </c>
      <c r="N582" s="304">
        <f t="shared" ca="1" si="278"/>
        <v>-68.180917464261469</v>
      </c>
      <c r="P582" s="310">
        <f t="shared" ca="1" si="279"/>
        <v>23</v>
      </c>
      <c r="Q582" s="304">
        <f t="shared" ca="1" si="280"/>
        <v>0</v>
      </c>
      <c r="R582" s="306">
        <f t="shared" ca="1" si="281"/>
        <v>0</v>
      </c>
      <c r="S582" s="307">
        <f t="shared" ca="1" si="282"/>
        <v>6.8519999999999914</v>
      </c>
      <c r="T582" s="304">
        <f t="shared" ca="1" si="262"/>
        <v>67.218119999999914</v>
      </c>
      <c r="U582" s="311">
        <f t="shared" ca="1" si="263"/>
        <v>0</v>
      </c>
      <c r="V582" s="306">
        <f t="shared" ca="1" si="264"/>
        <v>1.0355594535067492</v>
      </c>
      <c r="W582" s="304">
        <f t="shared" ca="1" si="265"/>
        <v>3.6025290795880416</v>
      </c>
      <c r="Y582" s="314" t="str">
        <f t="shared" ca="1" si="283"/>
        <v/>
      </c>
      <c r="Z582" s="315" t="str">
        <f t="shared" ca="1" si="284"/>
        <v>Para</v>
      </c>
      <c r="AA582" s="316" t="str">
        <f t="shared" ca="1" si="285"/>
        <v/>
      </c>
      <c r="AC582" s="310" t="e">
        <f t="shared" ca="1" si="286"/>
        <v>#N/A</v>
      </c>
      <c r="AD582" s="323" t="e">
        <f t="shared" ca="1" si="287"/>
        <v>#N/A</v>
      </c>
      <c r="AE582" s="324" t="e">
        <f t="shared" ca="1" si="266"/>
        <v>#N/A</v>
      </c>
      <c r="AG582" s="306">
        <f t="shared" ca="1" si="288"/>
        <v>8.5685426754657712</v>
      </c>
      <c r="AH582" s="304">
        <f t="shared" ca="1" si="289"/>
        <v>-0.50159838152029834</v>
      </c>
    </row>
    <row r="583" spans="1:34" x14ac:dyDescent="0.2">
      <c r="A583" s="347">
        <f t="shared" ca="1" si="267"/>
        <v>0.1</v>
      </c>
      <c r="B583" s="304">
        <f t="shared" ca="1" si="268"/>
        <v>21.9</v>
      </c>
      <c r="D583" s="306">
        <f t="shared" ca="1" si="269"/>
        <v>-0.19541409528284251</v>
      </c>
      <c r="E583" s="307">
        <f t="shared" ca="1" si="270"/>
        <v>-9.3219014264033557</v>
      </c>
      <c r="F583" s="304">
        <f t="shared" ca="1" si="271"/>
        <v>9.323949424584848</v>
      </c>
      <c r="G583" s="306">
        <f t="shared" ca="1" si="272"/>
        <v>13.807326524360315</v>
      </c>
      <c r="H583" s="307">
        <f t="shared" ca="1" si="273"/>
        <v>-35.468463005004168</v>
      </c>
      <c r="I583" s="304">
        <f t="shared" ca="1" si="274"/>
        <v>38.06118933622087</v>
      </c>
      <c r="J583" s="306">
        <f t="shared" ca="1" si="275"/>
        <v>353.34800736048152</v>
      </c>
      <c r="K583" s="307">
        <f t="shared" ca="1" si="276"/>
        <v>1672.5498772558487</v>
      </c>
      <c r="L583" s="304">
        <f t="shared" ca="1" si="261"/>
        <v>1709.4671410162225</v>
      </c>
      <c r="M583" s="306">
        <f t="shared" ca="1" si="277"/>
        <v>-1.1995613540982268</v>
      </c>
      <c r="N583" s="304">
        <f t="shared" ca="1" si="278"/>
        <v>-68.729802856826481</v>
      </c>
      <c r="P583" s="310">
        <f t="shared" ca="1" si="279"/>
        <v>23</v>
      </c>
      <c r="Q583" s="304">
        <f t="shared" ca="1" si="280"/>
        <v>0</v>
      </c>
      <c r="R583" s="306">
        <f t="shared" ca="1" si="281"/>
        <v>0</v>
      </c>
      <c r="S583" s="307">
        <f t="shared" ca="1" si="282"/>
        <v>6.8519999999999914</v>
      </c>
      <c r="T583" s="304">
        <f t="shared" ca="1" si="262"/>
        <v>67.218119999999914</v>
      </c>
      <c r="U583" s="311">
        <f t="shared" ca="1" si="263"/>
        <v>0</v>
      </c>
      <c r="V583" s="306">
        <f t="shared" ca="1" si="264"/>
        <v>1.0359245463738815</v>
      </c>
      <c r="W583" s="304">
        <f t="shared" ca="1" si="265"/>
        <v>3.7723254434112441</v>
      </c>
      <c r="Y583" s="314" t="str">
        <f t="shared" ca="1" si="283"/>
        <v/>
      </c>
      <c r="Z583" s="315" t="str">
        <f t="shared" ca="1" si="284"/>
        <v/>
      </c>
      <c r="AA583" s="316" t="str">
        <f t="shared" ca="1" si="285"/>
        <v/>
      </c>
      <c r="AC583" s="310" t="e">
        <f t="shared" ca="1" si="286"/>
        <v>#N/A</v>
      </c>
      <c r="AD583" s="323" t="e">
        <f t="shared" ca="1" si="287"/>
        <v>#N/A</v>
      </c>
      <c r="AE583" s="324" t="e">
        <f t="shared" ca="1" si="266"/>
        <v>#N/A</v>
      </c>
      <c r="AG583" s="306">
        <f t="shared" ca="1" si="288"/>
        <v>8.5814689582636774</v>
      </c>
      <c r="AH583" s="304">
        <f t="shared" ca="1" si="289"/>
        <v>-0.52576314646643985</v>
      </c>
    </row>
    <row r="584" spans="1:34" x14ac:dyDescent="0.2">
      <c r="A584" s="347">
        <f t="shared" ca="1" si="267"/>
        <v>0.1</v>
      </c>
      <c r="B584" s="304">
        <f t="shared" ca="1" si="268"/>
        <v>22</v>
      </c>
      <c r="D584" s="306">
        <f t="shared" ca="1" si="269"/>
        <v>-0.19971884185931166</v>
      </c>
      <c r="E584" s="307">
        <f t="shared" ca="1" si="270"/>
        <v>-9.2969593080607282</v>
      </c>
      <c r="F584" s="304">
        <f t="shared" ca="1" si="271"/>
        <v>9.2991042574825808</v>
      </c>
      <c r="G584" s="306">
        <f t="shared" ca="1" si="272"/>
        <v>13.787354640174383</v>
      </c>
      <c r="H584" s="307">
        <f t="shared" ca="1" si="273"/>
        <v>-36.398158935810244</v>
      </c>
      <c r="I584" s="304">
        <f t="shared" ca="1" si="274"/>
        <v>38.921936255670033</v>
      </c>
      <c r="J584" s="306">
        <f t="shared" ca="1" si="275"/>
        <v>354.72774141870826</v>
      </c>
      <c r="K584" s="307">
        <f t="shared" ca="1" si="276"/>
        <v>1668.9565461588081</v>
      </c>
      <c r="L584" s="304">
        <f t="shared" ca="1" si="261"/>
        <v>1706.2378859638407</v>
      </c>
      <c r="M584" s="306">
        <f t="shared" ca="1" si="277"/>
        <v>-1.2087047571015583</v>
      </c>
      <c r="N584" s="304">
        <f t="shared" ca="1" si="278"/>
        <v>-69.253681259304614</v>
      </c>
      <c r="P584" s="310">
        <f t="shared" ca="1" si="279"/>
        <v>23</v>
      </c>
      <c r="Q584" s="304">
        <f t="shared" ca="1" si="280"/>
        <v>0</v>
      </c>
      <c r="R584" s="306">
        <f t="shared" ca="1" si="281"/>
        <v>0</v>
      </c>
      <c r="S584" s="307">
        <f t="shared" ca="1" si="282"/>
        <v>6.8519999999999914</v>
      </c>
      <c r="T584" s="304">
        <f t="shared" ca="1" si="262"/>
        <v>67.218119999999914</v>
      </c>
      <c r="U584" s="311">
        <f t="shared" ca="1" si="263"/>
        <v>0</v>
      </c>
      <c r="V584" s="306">
        <f t="shared" ca="1" si="264"/>
        <v>1.0362994721559904</v>
      </c>
      <c r="W584" s="304">
        <f t="shared" ca="1" si="265"/>
        <v>3.9463033850610709</v>
      </c>
      <c r="Y584" s="314" t="str">
        <f t="shared" ca="1" si="283"/>
        <v/>
      </c>
      <c r="Z584" s="315" t="str">
        <f t="shared" ca="1" si="284"/>
        <v/>
      </c>
      <c r="AA584" s="316" t="str">
        <f t="shared" ca="1" si="285"/>
        <v/>
      </c>
      <c r="AC584" s="310">
        <f t="shared" ca="1" si="286"/>
        <v>22</v>
      </c>
      <c r="AD584" s="323">
        <f t="shared" ca="1" si="287"/>
        <v>354.72774141870826</v>
      </c>
      <c r="AE584" s="324" t="e">
        <f t="shared" ca="1" si="266"/>
        <v>#N/A</v>
      </c>
      <c r="AG584" s="306">
        <f t="shared" ca="1" si="288"/>
        <v>8.5911995845905356</v>
      </c>
      <c r="AH584" s="304">
        <f t="shared" ca="1" si="289"/>
        <v>-0.55054370160701238</v>
      </c>
    </row>
    <row r="585" spans="1:34" x14ac:dyDescent="0.2">
      <c r="A585" s="347">
        <f t="shared" ca="1" si="267"/>
        <v>0.1</v>
      </c>
      <c r="B585" s="304">
        <f t="shared" ca="1" si="268"/>
        <v>22.1</v>
      </c>
      <c r="D585" s="306">
        <f t="shared" ca="1" si="269"/>
        <v>-0.2040138376800604</v>
      </c>
      <c r="E585" s="307">
        <f t="shared" ca="1" si="270"/>
        <v>-9.2714102354815822</v>
      </c>
      <c r="F585" s="304">
        <f t="shared" ca="1" si="271"/>
        <v>9.2736545870847262</v>
      </c>
      <c r="G585" s="306">
        <f t="shared" ca="1" si="272"/>
        <v>13.766953256406378</v>
      </c>
      <c r="H585" s="307">
        <f t="shared" ca="1" si="273"/>
        <v>-37.325299959358404</v>
      </c>
      <c r="I585" s="304">
        <f t="shared" ca="1" si="274"/>
        <v>39.783250483339827</v>
      </c>
      <c r="J585" s="306">
        <f t="shared" ca="1" si="275"/>
        <v>356.10545681353727</v>
      </c>
      <c r="K585" s="307">
        <f t="shared" ca="1" si="276"/>
        <v>1665.2703732140496</v>
      </c>
      <c r="L585" s="304">
        <f t="shared" ca="1" si="261"/>
        <v>1702.9199958532515</v>
      </c>
      <c r="M585" s="306">
        <f t="shared" ca="1" si="277"/>
        <v>-1.217439714186155</v>
      </c>
      <c r="N585" s="304">
        <f t="shared" ca="1" si="278"/>
        <v>-69.754157434479907</v>
      </c>
      <c r="P585" s="310">
        <f t="shared" ca="1" si="279"/>
        <v>23</v>
      </c>
      <c r="Q585" s="304">
        <f t="shared" ca="1" si="280"/>
        <v>0</v>
      </c>
      <c r="R585" s="306">
        <f t="shared" ca="1" si="281"/>
        <v>0</v>
      </c>
      <c r="S585" s="307">
        <f t="shared" ca="1" si="282"/>
        <v>6.8519999999999914</v>
      </c>
      <c r="T585" s="304">
        <f t="shared" ca="1" si="262"/>
        <v>67.218119999999914</v>
      </c>
      <c r="U585" s="311">
        <f t="shared" ca="1" si="263"/>
        <v>0</v>
      </c>
      <c r="V585" s="306">
        <f t="shared" ca="1" si="264"/>
        <v>1.0366842142243173</v>
      </c>
      <c r="W585" s="304">
        <f t="shared" ca="1" si="265"/>
        <v>4.1244242612791906</v>
      </c>
      <c r="Y585" s="314" t="str">
        <f t="shared" ca="1" si="283"/>
        <v/>
      </c>
      <c r="Z585" s="315" t="str">
        <f t="shared" ca="1" si="284"/>
        <v/>
      </c>
      <c r="AA585" s="316" t="str">
        <f t="shared" ca="1" si="285"/>
        <v/>
      </c>
      <c r="AC585" s="310" t="e">
        <f t="shared" ca="1" si="286"/>
        <v>#N/A</v>
      </c>
      <c r="AD585" s="323" t="e">
        <f t="shared" ca="1" si="287"/>
        <v>#N/A</v>
      </c>
      <c r="AE585" s="324" t="e">
        <f t="shared" ca="1" si="266"/>
        <v>#N/A</v>
      </c>
      <c r="AG585" s="306">
        <f t="shared" ca="1" si="288"/>
        <v>8.5979651675167581</v>
      </c>
      <c r="AH585" s="304">
        <f t="shared" ca="1" si="289"/>
        <v>-0.57593452788398658</v>
      </c>
    </row>
    <row r="586" spans="1:34" x14ac:dyDescent="0.2">
      <c r="A586" s="347">
        <f t="shared" ca="1" si="267"/>
        <v>0.1</v>
      </c>
      <c r="B586" s="304">
        <f t="shared" ca="1" si="268"/>
        <v>22.200000000000003</v>
      </c>
      <c r="D586" s="306">
        <f t="shared" ca="1" si="269"/>
        <v>-0.20829725762982448</v>
      </c>
      <c r="E586" s="307">
        <f t="shared" ca="1" si="270"/>
        <v>-9.2452593869578941</v>
      </c>
      <c r="F586" s="304">
        <f t="shared" ca="1" si="271"/>
        <v>9.2476055754811011</v>
      </c>
      <c r="G586" s="306">
        <f t="shared" ca="1" si="272"/>
        <v>13.746123530643395</v>
      </c>
      <c r="H586" s="307">
        <f t="shared" ca="1" si="273"/>
        <v>-38.249825898054191</v>
      </c>
      <c r="I586" s="304">
        <f t="shared" ca="1" si="274"/>
        <v>40.644865522611404</v>
      </c>
      <c r="J586" s="306">
        <f t="shared" ca="1" si="275"/>
        <v>357.48111065288975</v>
      </c>
      <c r="K586" s="307">
        <f t="shared" ca="1" si="276"/>
        <v>1661.491616921179</v>
      </c>
      <c r="L586" s="304">
        <f t="shared" ca="1" si="261"/>
        <v>1699.5137944638689</v>
      </c>
      <c r="M586" s="306">
        <f t="shared" ca="1" si="277"/>
        <v>-1.2257920113874134</v>
      </c>
      <c r="N586" s="304">
        <f t="shared" ca="1" si="278"/>
        <v>-70.232708813350939</v>
      </c>
      <c r="P586" s="310">
        <f t="shared" ca="1" si="279"/>
        <v>23</v>
      </c>
      <c r="Q586" s="304">
        <f t="shared" ca="1" si="280"/>
        <v>0</v>
      </c>
      <c r="R586" s="306">
        <f t="shared" ca="1" si="281"/>
        <v>0</v>
      </c>
      <c r="S586" s="307">
        <f t="shared" ca="1" si="282"/>
        <v>6.8519999999999914</v>
      </c>
      <c r="T586" s="304">
        <f t="shared" ca="1" si="262"/>
        <v>67.218119999999914</v>
      </c>
      <c r="U586" s="311">
        <f t="shared" ca="1" si="263"/>
        <v>0</v>
      </c>
      <c r="V586" s="306">
        <f t="shared" ca="1" si="264"/>
        <v>1.0370787555425298</v>
      </c>
      <c r="W586" s="304">
        <f t="shared" ca="1" si="265"/>
        <v>4.3066486175592607</v>
      </c>
      <c r="Y586" s="314" t="str">
        <f t="shared" ca="1" si="283"/>
        <v/>
      </c>
      <c r="Z586" s="315" t="str">
        <f t="shared" ca="1" si="284"/>
        <v/>
      </c>
      <c r="AA586" s="316" t="str">
        <f t="shared" ca="1" si="285"/>
        <v/>
      </c>
      <c r="AC586" s="310" t="e">
        <f t="shared" ca="1" si="286"/>
        <v>#N/A</v>
      </c>
      <c r="AD586" s="323" t="e">
        <f t="shared" ca="1" si="287"/>
        <v>#N/A</v>
      </c>
      <c r="AE586" s="324" t="e">
        <f t="shared" ca="1" si="266"/>
        <v>#N/A</v>
      </c>
      <c r="AG586" s="306">
        <f t="shared" ca="1" si="288"/>
        <v>8.6019733695304854</v>
      </c>
      <c r="AH586" s="304">
        <f t="shared" ca="1" si="289"/>
        <v>-0.6019299855924104</v>
      </c>
    </row>
    <row r="587" spans="1:34" x14ac:dyDescent="0.2">
      <c r="A587" s="347">
        <f t="shared" ca="1" si="267"/>
        <v>0.1</v>
      </c>
      <c r="B587" s="304">
        <f t="shared" ca="1" si="268"/>
        <v>22.300000000000004</v>
      </c>
      <c r="D587" s="306">
        <f t="shared" ca="1" si="269"/>
        <v>-0.2125673879674625</v>
      </c>
      <c r="E587" s="307">
        <f t="shared" ca="1" si="270"/>
        <v>-9.2185121115611697</v>
      </c>
      <c r="F587" s="304">
        <f t="shared" ca="1" si="271"/>
        <v>9.2209625552556762</v>
      </c>
      <c r="G587" s="306">
        <f t="shared" ca="1" si="272"/>
        <v>13.724866791846649</v>
      </c>
      <c r="H587" s="307">
        <f t="shared" ca="1" si="273"/>
        <v>-39.171677109210307</v>
      </c>
      <c r="I587" s="304">
        <f t="shared" ca="1" si="274"/>
        <v>41.506532690676124</v>
      </c>
      <c r="J587" s="306">
        <f t="shared" ca="1" si="275"/>
        <v>358.85466016901427</v>
      </c>
      <c r="K587" s="307">
        <f t="shared" ca="1" si="276"/>
        <v>1657.6205417708159</v>
      </c>
      <c r="L587" s="304">
        <f t="shared" ca="1" si="261"/>
        <v>1696.0196129837627</v>
      </c>
      <c r="M587" s="306">
        <f t="shared" ca="1" si="277"/>
        <v>-1.2337854147376097</v>
      </c>
      <c r="N587" s="304">
        <f t="shared" ca="1" si="278"/>
        <v>-70.690697089262912</v>
      </c>
      <c r="P587" s="310">
        <f t="shared" ca="1" si="279"/>
        <v>23</v>
      </c>
      <c r="Q587" s="304">
        <f t="shared" ca="1" si="280"/>
        <v>0</v>
      </c>
      <c r="R587" s="306">
        <f t="shared" ca="1" si="281"/>
        <v>0</v>
      </c>
      <c r="S587" s="307">
        <f t="shared" ca="1" si="282"/>
        <v>6.8519999999999914</v>
      </c>
      <c r="T587" s="304">
        <f t="shared" ca="1" si="262"/>
        <v>67.218119999999914</v>
      </c>
      <c r="U587" s="311">
        <f t="shared" ca="1" si="263"/>
        <v>0</v>
      </c>
      <c r="V587" s="306">
        <f t="shared" ca="1" si="264"/>
        <v>1.0374830786694338</v>
      </c>
      <c r="W587" s="304">
        <f t="shared" ca="1" si="265"/>
        <v>4.4929362039761385</v>
      </c>
      <c r="Y587" s="314" t="str">
        <f t="shared" ca="1" si="283"/>
        <v/>
      </c>
      <c r="Z587" s="315" t="str">
        <f t="shared" ca="1" si="284"/>
        <v/>
      </c>
      <c r="AA587" s="316" t="str">
        <f t="shared" ca="1" si="285"/>
        <v/>
      </c>
      <c r="AC587" s="310" t="e">
        <f t="shared" ca="1" si="286"/>
        <v>#N/A</v>
      </c>
      <c r="AD587" s="323" t="e">
        <f t="shared" ca="1" si="287"/>
        <v>#N/A</v>
      </c>
      <c r="AE587" s="324" t="e">
        <f t="shared" ca="1" si="266"/>
        <v>#N/A</v>
      </c>
      <c r="AG587" s="306">
        <f t="shared" ca="1" si="288"/>
        <v>8.6034115560844064</v>
      </c>
      <c r="AH587" s="304">
        <f t="shared" ca="1" si="289"/>
        <v>-0.6285243166315333</v>
      </c>
    </row>
    <row r="588" spans="1:34" x14ac:dyDescent="0.2">
      <c r="A588" s="347">
        <f t="shared" ca="1" si="267"/>
        <v>0.1</v>
      </c>
      <c r="B588" s="304">
        <f t="shared" ca="1" si="268"/>
        <v>22.400000000000006</v>
      </c>
      <c r="D588" s="306">
        <f t="shared" ca="1" si="269"/>
        <v>-0.21682261617625856</v>
      </c>
      <c r="E588" s="307">
        <f t="shared" ca="1" si="270"/>
        <v>-9.1911739203271434</v>
      </c>
      <c r="F588" s="304">
        <f t="shared" ca="1" si="271"/>
        <v>9.1937310206785661</v>
      </c>
      <c r="G588" s="306">
        <f t="shared" ca="1" si="272"/>
        <v>13.703184530229024</v>
      </c>
      <c r="H588" s="307">
        <f t="shared" ca="1" si="273"/>
        <v>-40.090794501243025</v>
      </c>
      <c r="I588" s="304">
        <f t="shared" ca="1" si="274"/>
        <v>42.368019425156113</v>
      </c>
      <c r="J588" s="306">
        <f t="shared" ca="1" si="275"/>
        <v>360.22606273511803</v>
      </c>
      <c r="K588" s="307">
        <f t="shared" ca="1" si="276"/>
        <v>1653.6574181902931</v>
      </c>
      <c r="L588" s="304">
        <f t="shared" ca="1" si="261"/>
        <v>1692.4377899968526</v>
      </c>
      <c r="M588" s="306">
        <f t="shared" ca="1" si="277"/>
        <v>-1.2414418527465425</v>
      </c>
      <c r="N588" s="304">
        <f t="shared" ca="1" si="278"/>
        <v>-71.12937867327831</v>
      </c>
      <c r="P588" s="310">
        <f t="shared" ca="1" si="279"/>
        <v>23</v>
      </c>
      <c r="Q588" s="304">
        <f t="shared" ca="1" si="280"/>
        <v>0</v>
      </c>
      <c r="R588" s="306">
        <f t="shared" ca="1" si="281"/>
        <v>0</v>
      </c>
      <c r="S588" s="307">
        <f t="shared" ca="1" si="282"/>
        <v>6.8519999999999914</v>
      </c>
      <c r="T588" s="304">
        <f t="shared" ca="1" si="262"/>
        <v>67.218119999999914</v>
      </c>
      <c r="U588" s="311">
        <f t="shared" ca="1" si="263"/>
        <v>0</v>
      </c>
      <c r="V588" s="306">
        <f t="shared" ca="1" si="264"/>
        <v>1.0378971657618097</v>
      </c>
      <c r="W588" s="304">
        <f t="shared" ca="1" si="265"/>
        <v>4.6832459913946272</v>
      </c>
      <c r="Y588" s="314" t="str">
        <f t="shared" ca="1" si="283"/>
        <v/>
      </c>
      <c r="Z588" s="315" t="str">
        <f t="shared" ca="1" si="284"/>
        <v/>
      </c>
      <c r="AA588" s="316" t="str">
        <f t="shared" ca="1" si="285"/>
        <v/>
      </c>
      <c r="AC588" s="310" t="e">
        <f t="shared" ca="1" si="286"/>
        <v>#N/A</v>
      </c>
      <c r="AD588" s="323" t="e">
        <f t="shared" ca="1" si="287"/>
        <v>#N/A</v>
      </c>
      <c r="AE588" s="324" t="e">
        <f t="shared" ca="1" si="266"/>
        <v>#N/A</v>
      </c>
      <c r="AG588" s="306">
        <f t="shared" ca="1" si="288"/>
        <v>8.60244911802471</v>
      </c>
      <c r="AH588" s="304">
        <f t="shared" ca="1" si="289"/>
        <v>-0.65571164681496552</v>
      </c>
    </row>
    <row r="589" spans="1:34" x14ac:dyDescent="0.2">
      <c r="A589" s="347">
        <f t="shared" ca="1" si="267"/>
        <v>0.1</v>
      </c>
      <c r="B589" s="304">
        <f t="shared" ca="1" si="268"/>
        <v>22.500000000000007</v>
      </c>
      <c r="D589" s="306">
        <f t="shared" ca="1" si="269"/>
        <v>-0.22106142198060655</v>
      </c>
      <c r="E589" s="307">
        <f t="shared" ca="1" si="270"/>
        <v>-9.1632504782938256</v>
      </c>
      <c r="F589" s="304">
        <f t="shared" ca="1" si="271"/>
        <v>9.1659166197516821</v>
      </c>
      <c r="G589" s="306">
        <f t="shared" ca="1" si="272"/>
        <v>13.681078388030963</v>
      </c>
      <c r="H589" s="307">
        <f t="shared" ca="1" si="273"/>
        <v>-41.007119549072407</v>
      </c>
      <c r="I589" s="304">
        <f t="shared" ca="1" si="274"/>
        <v>43.229107781347558</v>
      </c>
      <c r="J589" s="306">
        <f t="shared" ca="1" si="275"/>
        <v>361.59527588103106</v>
      </c>
      <c r="K589" s="307">
        <f t="shared" ca="1" si="276"/>
        <v>1649.6025224877774</v>
      </c>
      <c r="L589" s="304">
        <f t="shared" ca="1" si="261"/>
        <v>1688.7686714696945</v>
      </c>
      <c r="M589" s="306">
        <f t="shared" ca="1" si="277"/>
        <v>-1.2487815809546818</v>
      </c>
      <c r="N589" s="304">
        <f t="shared" ca="1" si="278"/>
        <v>-71.549914122377814</v>
      </c>
      <c r="P589" s="310">
        <f t="shared" ca="1" si="279"/>
        <v>23</v>
      </c>
      <c r="Q589" s="304">
        <f t="shared" ca="1" si="280"/>
        <v>0</v>
      </c>
      <c r="R589" s="306">
        <f t="shared" ca="1" si="281"/>
        <v>0</v>
      </c>
      <c r="S589" s="307">
        <f t="shared" ca="1" si="282"/>
        <v>6.8519999999999914</v>
      </c>
      <c r="T589" s="304">
        <f t="shared" ca="1" si="262"/>
        <v>67.218119999999914</v>
      </c>
      <c r="U589" s="311">
        <f t="shared" ca="1" si="263"/>
        <v>0</v>
      </c>
      <c r="V589" s="306">
        <f t="shared" ca="1" si="264"/>
        <v>1.0383209985773614</v>
      </c>
      <c r="W589" s="304">
        <f t="shared" ca="1" si="265"/>
        <v>4.8775361880344859</v>
      </c>
      <c r="Y589" s="314" t="str">
        <f t="shared" ca="1" si="283"/>
        <v/>
      </c>
      <c r="Z589" s="315" t="str">
        <f t="shared" ca="1" si="284"/>
        <v/>
      </c>
      <c r="AA589" s="316" t="str">
        <f t="shared" ca="1" si="285"/>
        <v/>
      </c>
      <c r="AC589" s="310" t="e">
        <f t="shared" ca="1" si="286"/>
        <v>#N/A</v>
      </c>
      <c r="AD589" s="323" t="e">
        <f t="shared" ca="1" si="287"/>
        <v>#N/A</v>
      </c>
      <c r="AE589" s="324" t="e">
        <f t="shared" ca="1" si="266"/>
        <v>#N/A</v>
      </c>
      <c r="AG589" s="306">
        <f t="shared" ca="1" si="288"/>
        <v>8.5992395059764366</v>
      </c>
      <c r="AH589" s="304">
        <f t="shared" ca="1" si="289"/>
        <v>-0.68348598823622786</v>
      </c>
    </row>
    <row r="590" spans="1:34" x14ac:dyDescent="0.2">
      <c r="A590" s="347">
        <f t="shared" ca="1" si="267"/>
        <v>0.1</v>
      </c>
      <c r="B590" s="304">
        <f t="shared" ca="1" si="268"/>
        <v>22.600000000000009</v>
      </c>
      <c r="D590" s="306">
        <f t="shared" ca="1" si="269"/>
        <v>-0.22528236938412041</v>
      </c>
      <c r="E590" s="307">
        <f t="shared" ca="1" si="270"/>
        <v>-9.1347475972570233</v>
      </c>
      <c r="F590" s="304">
        <f t="shared" ca="1" si="271"/>
        <v>9.137525146972143</v>
      </c>
      <c r="G590" s="306">
        <f t="shared" ca="1" si="272"/>
        <v>13.658550151092552</v>
      </c>
      <c r="H590" s="307">
        <f t="shared" ca="1" si="273"/>
        <v>-41.920594308798108</v>
      </c>
      <c r="I590" s="304">
        <f t="shared" ca="1" si="274"/>
        <v>44.089593096701932</v>
      </c>
      <c r="J590" s="306">
        <f t="shared" ca="1" si="275"/>
        <v>362.96225730798722</v>
      </c>
      <c r="K590" s="307">
        <f t="shared" ca="1" si="276"/>
        <v>1645.4561367948838</v>
      </c>
      <c r="L590" s="304">
        <f t="shared" ca="1" si="261"/>
        <v>1685.0126107379888</v>
      </c>
      <c r="M590" s="306">
        <f t="shared" ca="1" si="277"/>
        <v>-1.2558233303473789</v>
      </c>
      <c r="N590" s="304">
        <f t="shared" ca="1" si="278"/>
        <v>-71.953376642968166</v>
      </c>
      <c r="P590" s="310">
        <f t="shared" ca="1" si="279"/>
        <v>23</v>
      </c>
      <c r="Q590" s="304">
        <f t="shared" ca="1" si="280"/>
        <v>0</v>
      </c>
      <c r="R590" s="306">
        <f t="shared" ca="1" si="281"/>
        <v>0</v>
      </c>
      <c r="S590" s="307">
        <f t="shared" ca="1" si="282"/>
        <v>6.8519999999999914</v>
      </c>
      <c r="T590" s="304">
        <f t="shared" ca="1" si="262"/>
        <v>67.218119999999914</v>
      </c>
      <c r="U590" s="311">
        <f t="shared" ca="1" si="263"/>
        <v>0</v>
      </c>
      <c r="V590" s="306">
        <f t="shared" ca="1" si="264"/>
        <v>1.0387545584777682</v>
      </c>
      <c r="W590" s="304">
        <f t="shared" ca="1" si="265"/>
        <v>5.075764256369987</v>
      </c>
      <c r="Y590" s="314" t="str">
        <f t="shared" ca="1" si="283"/>
        <v/>
      </c>
      <c r="Z590" s="315" t="str">
        <f t="shared" ca="1" si="284"/>
        <v/>
      </c>
      <c r="AA590" s="316" t="str">
        <f t="shared" ca="1" si="285"/>
        <v/>
      </c>
      <c r="AC590" s="310" t="e">
        <f t="shared" ca="1" si="286"/>
        <v>#N/A</v>
      </c>
      <c r="AD590" s="323" t="e">
        <f t="shared" ca="1" si="287"/>
        <v>#N/A</v>
      </c>
      <c r="AE590" s="324" t="e">
        <f t="shared" ca="1" si="266"/>
        <v>#N/A</v>
      </c>
      <c r="AG590" s="306">
        <f t="shared" ca="1" si="288"/>
        <v>8.5939220141997179</v>
      </c>
      <c r="AH590" s="304">
        <f t="shared" ca="1" si="289"/>
        <v>-0.71184124168629481</v>
      </c>
    </row>
    <row r="591" spans="1:34" x14ac:dyDescent="0.2">
      <c r="A591" s="347">
        <f t="shared" ca="1" si="267"/>
        <v>0.1</v>
      </c>
      <c r="B591" s="304">
        <f t="shared" ca="1" si="268"/>
        <v>22.70000000000001</v>
      </c>
      <c r="D591" s="306">
        <f t="shared" ca="1" si="269"/>
        <v>-0.22948409960312949</v>
      </c>
      <c r="E591" s="307">
        <f t="shared" ca="1" si="270"/>
        <v>-9.1056712291301949</v>
      </c>
      <c r="F591" s="304">
        <f t="shared" ca="1" si="271"/>
        <v>9.1085625367002923</v>
      </c>
      <c r="G591" s="306">
        <f t="shared" ca="1" si="272"/>
        <v>13.635601741132239</v>
      </c>
      <c r="H591" s="307">
        <f t="shared" ca="1" si="273"/>
        <v>-42.831161431711131</v>
      </c>
      <c r="I591" s="304">
        <f t="shared" ca="1" si="274"/>
        <v>44.94928280219905</v>
      </c>
      <c r="J591" s="306">
        <f t="shared" ca="1" si="275"/>
        <v>364.32696490259843</v>
      </c>
      <c r="K591" s="307">
        <f t="shared" ca="1" si="276"/>
        <v>1641.2185490078584</v>
      </c>
      <c r="L591" s="304">
        <f t="shared" ca="1" si="261"/>
        <v>1681.1699684929538</v>
      </c>
      <c r="M591" s="306">
        <f t="shared" ca="1" si="277"/>
        <v>-1.2625844412606846</v>
      </c>
      <c r="N591" s="304">
        <f t="shared" ca="1" si="278"/>
        <v>-72.340759763120417</v>
      </c>
      <c r="P591" s="310">
        <f t="shared" ca="1" si="279"/>
        <v>23</v>
      </c>
      <c r="Q591" s="304">
        <f t="shared" ca="1" si="280"/>
        <v>0</v>
      </c>
      <c r="R591" s="306">
        <f t="shared" ca="1" si="281"/>
        <v>0</v>
      </c>
      <c r="S591" s="307">
        <f t="shared" ca="1" si="282"/>
        <v>6.8519999999999914</v>
      </c>
      <c r="T591" s="304">
        <f t="shared" ca="1" si="262"/>
        <v>67.218119999999914</v>
      </c>
      <c r="U591" s="311">
        <f t="shared" ca="1" si="263"/>
        <v>0</v>
      </c>
      <c r="V591" s="306">
        <f t="shared" ca="1" si="264"/>
        <v>1.0391978264318396</v>
      </c>
      <c r="W591" s="304">
        <f t="shared" ca="1" si="265"/>
        <v>5.2778869303435565</v>
      </c>
      <c r="Y591" s="314" t="str">
        <f t="shared" ca="1" si="283"/>
        <v/>
      </c>
      <c r="Z591" s="315" t="str">
        <f t="shared" ca="1" si="284"/>
        <v/>
      </c>
      <c r="AA591" s="316" t="str">
        <f t="shared" ca="1" si="285"/>
        <v/>
      </c>
      <c r="AC591" s="310" t="e">
        <f t="shared" ca="1" si="286"/>
        <v>#N/A</v>
      </c>
      <c r="AD591" s="323" t="e">
        <f t="shared" ca="1" si="287"/>
        <v>#N/A</v>
      </c>
      <c r="AE591" s="324" t="e">
        <f t="shared" ca="1" si="266"/>
        <v>#N/A</v>
      </c>
      <c r="AG591" s="306">
        <f t="shared" ca="1" si="288"/>
        <v>8.5866233465119794</v>
      </c>
      <c r="AH591" s="304">
        <f t="shared" ca="1" si="289"/>
        <v>-0.74077119911996403</v>
      </c>
    </row>
    <row r="592" spans="1:34" x14ac:dyDescent="0.2">
      <c r="A592" s="347">
        <f t="shared" ca="1" si="267"/>
        <v>0.1</v>
      </c>
      <c r="B592" s="304">
        <f t="shared" ca="1" si="268"/>
        <v>22.800000000000011</v>
      </c>
      <c r="D592" s="306">
        <f t="shared" ca="1" si="269"/>
        <v>-0.23366532478592805</v>
      </c>
      <c r="E592" s="307">
        <f t="shared" ca="1" si="270"/>
        <v>-9.0760274598143074</v>
      </c>
      <c r="F592" s="304">
        <f t="shared" ca="1" si="271"/>
        <v>9.0790348570379802</v>
      </c>
      <c r="G592" s="306">
        <f t="shared" ca="1" si="272"/>
        <v>13.612235208653647</v>
      </c>
      <c r="H592" s="307">
        <f t="shared" ca="1" si="273"/>
        <v>-43.738764177692559</v>
      </c>
      <c r="I592" s="304">
        <f t="shared" ca="1" si="274"/>
        <v>45.807995362900478</v>
      </c>
      <c r="J592" s="306">
        <f t="shared" ca="1" si="275"/>
        <v>365.68935675008771</v>
      </c>
      <c r="K592" s="307">
        <f t="shared" ca="1" si="276"/>
        <v>1636.8900527273881</v>
      </c>
      <c r="L592" s="304">
        <f t="shared" ca="1" si="261"/>
        <v>1677.2411127676796</v>
      </c>
      <c r="M592" s="306">
        <f t="shared" ca="1" si="277"/>
        <v>-1.2690809842570885</v>
      </c>
      <c r="N592" s="304">
        <f t="shared" ca="1" si="278"/>
        <v>-72.712984258239644</v>
      </c>
      <c r="P592" s="310">
        <f t="shared" ca="1" si="279"/>
        <v>23</v>
      </c>
      <c r="Q592" s="304">
        <f t="shared" ca="1" si="280"/>
        <v>0</v>
      </c>
      <c r="R592" s="306">
        <f t="shared" ca="1" si="281"/>
        <v>0</v>
      </c>
      <c r="S592" s="307">
        <f t="shared" ca="1" si="282"/>
        <v>6.8519999999999914</v>
      </c>
      <c r="T592" s="304">
        <f t="shared" ca="1" si="262"/>
        <v>67.218119999999914</v>
      </c>
      <c r="U592" s="311">
        <f t="shared" ca="1" si="263"/>
        <v>0</v>
      </c>
      <c r="V592" s="306">
        <f t="shared" ca="1" si="264"/>
        <v>1.0396507830187649</v>
      </c>
      <c r="W592" s="304">
        <f t="shared" ca="1" si="265"/>
        <v>5.4838602328741413</v>
      </c>
      <c r="Y592" s="314" t="str">
        <f t="shared" ca="1" si="283"/>
        <v/>
      </c>
      <c r="Z592" s="315" t="str">
        <f t="shared" ca="1" si="284"/>
        <v/>
      </c>
      <c r="AA592" s="316" t="str">
        <f t="shared" ca="1" si="285"/>
        <v/>
      </c>
      <c r="AC592" s="310" t="e">
        <f t="shared" ca="1" si="286"/>
        <v>#N/A</v>
      </c>
      <c r="AD592" s="323" t="e">
        <f t="shared" ca="1" si="287"/>
        <v>#N/A</v>
      </c>
      <c r="AE592" s="324" t="e">
        <f t="shared" ca="1" si="266"/>
        <v>#N/A</v>
      </c>
      <c r="AG592" s="306">
        <f t="shared" ca="1" si="288"/>
        <v>8.5774589925513585</v>
      </c>
      <c r="AH592" s="304">
        <f t="shared" ca="1" si="289"/>
        <v>-0.77026954616806231</v>
      </c>
    </row>
    <row r="593" spans="1:34" x14ac:dyDescent="0.2">
      <c r="A593" s="347">
        <f t="shared" ca="1" si="267"/>
        <v>0.1</v>
      </c>
      <c r="B593" s="304">
        <f t="shared" ca="1" si="268"/>
        <v>22.900000000000013</v>
      </c>
      <c r="D593" s="306">
        <f t="shared" ca="1" si="269"/>
        <v>-0.23782482242236927</v>
      </c>
      <c r="E593" s="307">
        <f t="shared" ca="1" si="270"/>
        <v>-9.0458225034988597</v>
      </c>
      <c r="F593" s="304">
        <f t="shared" ca="1" si="271"/>
        <v>9.0489483041382552</v>
      </c>
      <c r="G593" s="306">
        <f t="shared" ca="1" si="272"/>
        <v>13.588452726411411</v>
      </c>
      <c r="H593" s="307">
        <f t="shared" ca="1" si="273"/>
        <v>-44.643346428042442</v>
      </c>
      <c r="I593" s="304">
        <f t="shared" ca="1" si="274"/>
        <v>46.665559332254098</v>
      </c>
      <c r="J593" s="306">
        <f t="shared" ca="1" si="275"/>
        <v>367.04939114684095</v>
      </c>
      <c r="K593" s="307">
        <f t="shared" ca="1" si="276"/>
        <v>1632.4709471971014</v>
      </c>
      <c r="L593" s="304">
        <f t="shared" ca="1" si="261"/>
        <v>1673.2264189235921</v>
      </c>
      <c r="M593" s="306">
        <f t="shared" ca="1" si="277"/>
        <v>-1.275327869305825</v>
      </c>
      <c r="N593" s="304">
        <f t="shared" ca="1" si="278"/>
        <v>-73.07090440663562</v>
      </c>
      <c r="P593" s="310">
        <f t="shared" ca="1" si="279"/>
        <v>23</v>
      </c>
      <c r="Q593" s="304">
        <f t="shared" ca="1" si="280"/>
        <v>0</v>
      </c>
      <c r="R593" s="306">
        <f t="shared" ca="1" si="281"/>
        <v>0</v>
      </c>
      <c r="S593" s="307">
        <f t="shared" ca="1" si="282"/>
        <v>6.8519999999999914</v>
      </c>
      <c r="T593" s="304">
        <f t="shared" ca="1" si="262"/>
        <v>67.218119999999914</v>
      </c>
      <c r="U593" s="311">
        <f t="shared" ca="1" si="263"/>
        <v>0</v>
      </c>
      <c r="V593" s="306">
        <f t="shared" ca="1" si="264"/>
        <v>1.0401134084314527</v>
      </c>
      <c r="W593" s="304">
        <f t="shared" ca="1" si="265"/>
        <v>5.6936394936417765</v>
      </c>
      <c r="Y593" s="314" t="str">
        <f t="shared" ca="1" si="283"/>
        <v/>
      </c>
      <c r="Z593" s="315" t="str">
        <f t="shared" ca="1" si="284"/>
        <v/>
      </c>
      <c r="AA593" s="316" t="str">
        <f t="shared" ca="1" si="285"/>
        <v/>
      </c>
      <c r="AC593" s="310" t="e">
        <f t="shared" ca="1" si="286"/>
        <v>#N/A</v>
      </c>
      <c r="AD593" s="323" t="e">
        <f t="shared" ca="1" si="287"/>
        <v>#N/A</v>
      </c>
      <c r="AE593" s="324" t="e">
        <f t="shared" ca="1" si="266"/>
        <v>#N/A</v>
      </c>
      <c r="AG593" s="306">
        <f t="shared" ca="1" si="288"/>
        <v>8.5665344388841334</v>
      </c>
      <c r="AH593" s="304">
        <f t="shared" ca="1" si="289"/>
        <v>-0.80032986469266609</v>
      </c>
    </row>
    <row r="594" spans="1:34" x14ac:dyDescent="0.2">
      <c r="A594" s="347">
        <f t="shared" ca="1" si="267"/>
        <v>0.1</v>
      </c>
      <c r="B594" s="304">
        <f t="shared" ca="1" si="268"/>
        <v>23.000000000000014</v>
      </c>
      <c r="D594" s="306">
        <f t="shared" ca="1" si="269"/>
        <v>-0.24196143036070974</v>
      </c>
      <c r="E594" s="307">
        <f t="shared" ca="1" si="270"/>
        <v>-9.0150626973281209</v>
      </c>
      <c r="F594" s="304">
        <f t="shared" ca="1" si="271"/>
        <v>9.0183091968804874</v>
      </c>
      <c r="G594" s="306">
        <f t="shared" ca="1" si="272"/>
        <v>13.564256583375339</v>
      </c>
      <c r="H594" s="307">
        <f t="shared" ca="1" si="273"/>
        <v>-45.544852697775255</v>
      </c>
      <c r="I594" s="304">
        <f t="shared" ca="1" si="274"/>
        <v>47.521812506697252</v>
      </c>
      <c r="J594" s="306">
        <f t="shared" ca="1" si="275"/>
        <v>368.4070266123303</v>
      </c>
      <c r="K594" s="307">
        <f t="shared" ca="1" si="276"/>
        <v>1627.9615372408105</v>
      </c>
      <c r="L594" s="304">
        <f t="shared" ca="1" si="261"/>
        <v>1669.1262696371418</v>
      </c>
      <c r="M594" s="306">
        <f t="shared" ca="1" si="277"/>
        <v>-1.2813389444688408</v>
      </c>
      <c r="N594" s="304">
        <f t="shared" ca="1" si="278"/>
        <v>-73.41531364381234</v>
      </c>
      <c r="P594" s="310">
        <f t="shared" ca="1" si="279"/>
        <v>23</v>
      </c>
      <c r="Q594" s="304">
        <f t="shared" ca="1" si="280"/>
        <v>0</v>
      </c>
      <c r="R594" s="306">
        <f t="shared" ca="1" si="281"/>
        <v>0</v>
      </c>
      <c r="S594" s="307">
        <f t="shared" ca="1" si="282"/>
        <v>6.8519999999999914</v>
      </c>
      <c r="T594" s="304">
        <f t="shared" ca="1" si="262"/>
        <v>67.218119999999914</v>
      </c>
      <c r="U594" s="311">
        <f t="shared" ca="1" si="263"/>
        <v>0</v>
      </c>
      <c r="V594" s="306">
        <f t="shared" ca="1" si="264"/>
        <v>1.0405856824799578</v>
      </c>
      <c r="W594" s="304">
        <f t="shared" ca="1" si="265"/>
        <v>5.9071793671307065</v>
      </c>
      <c r="Y594" s="314" t="str">
        <f t="shared" ca="1" si="283"/>
        <v/>
      </c>
      <c r="Z594" s="315" t="str">
        <f t="shared" ca="1" si="284"/>
        <v/>
      </c>
      <c r="AA594" s="316" t="str">
        <f t="shared" ca="1" si="285"/>
        <v/>
      </c>
      <c r="AC594" s="310">
        <f t="shared" ca="1" si="286"/>
        <v>23.000000000000014</v>
      </c>
      <c r="AD594" s="323">
        <f t="shared" ca="1" si="287"/>
        <v>368.4070266123303</v>
      </c>
      <c r="AE594" s="324" t="e">
        <f t="shared" ca="1" si="266"/>
        <v>#N/A</v>
      </c>
      <c r="AG594" s="306">
        <f t="shared" ca="1" si="288"/>
        <v>8.5539462361778842</v>
      </c>
      <c r="AH594" s="304">
        <f t="shared" ca="1" si="289"/>
        <v>-0.83094563538263044</v>
      </c>
    </row>
    <row r="595" spans="1:34" x14ac:dyDescent="0.2">
      <c r="A595" s="347">
        <f t="shared" ca="1" si="267"/>
        <v>0.1</v>
      </c>
      <c r="B595" s="304">
        <f t="shared" ca="1" si="268"/>
        <v>23.100000000000016</v>
      </c>
      <c r="D595" s="306">
        <f t="shared" ca="1" si="269"/>
        <v>-0.24607404235927743</v>
      </c>
      <c r="E595" s="307">
        <f t="shared" ca="1" si="270"/>
        <v>-8.983754496377232</v>
      </c>
      <c r="F595" s="304">
        <f t="shared" ca="1" si="271"/>
        <v>8.9871239718555778</v>
      </c>
      <c r="G595" s="306">
        <f t="shared" ca="1" si="272"/>
        <v>13.539649179139412</v>
      </c>
      <c r="H595" s="307">
        <f t="shared" ca="1" si="273"/>
        <v>-46.443228147412981</v>
      </c>
      <c r="I595" s="304">
        <f t="shared" ca="1" si="274"/>
        <v>48.376601168817388</v>
      </c>
      <c r="J595" s="306">
        <f t="shared" ca="1" si="275"/>
        <v>369.76222190045604</v>
      </c>
      <c r="K595" s="307">
        <f t="shared" ca="1" si="276"/>
        <v>1623.362133198551</v>
      </c>
      <c r="L595" s="304">
        <f t="shared" ca="1" si="261"/>
        <v>1664.9410548868425</v>
      </c>
      <c r="M595" s="306">
        <f t="shared" ca="1" si="277"/>
        <v>-1.2871270851707222</v>
      </c>
      <c r="N595" s="304">
        <f t="shared" ca="1" si="278"/>
        <v>-73.74694967725803</v>
      </c>
      <c r="P595" s="310">
        <f t="shared" ca="1" si="279"/>
        <v>23</v>
      </c>
      <c r="Q595" s="304">
        <f t="shared" ca="1" si="280"/>
        <v>0</v>
      </c>
      <c r="R595" s="306">
        <f t="shared" ca="1" si="281"/>
        <v>0</v>
      </c>
      <c r="S595" s="307">
        <f t="shared" ca="1" si="282"/>
        <v>6.8519999999999914</v>
      </c>
      <c r="T595" s="304">
        <f t="shared" ca="1" si="262"/>
        <v>67.218119999999914</v>
      </c>
      <c r="U595" s="311">
        <f t="shared" ca="1" si="263"/>
        <v>0</v>
      </c>
      <c r="V595" s="306">
        <f t="shared" ca="1" si="264"/>
        <v>1.0410675845949893</v>
      </c>
      <c r="W595" s="304">
        <f t="shared" ca="1" si="265"/>
        <v>6.1244338509139427</v>
      </c>
      <c r="Y595" s="314" t="str">
        <f t="shared" ca="1" si="283"/>
        <v/>
      </c>
      <c r="Z595" s="315" t="str">
        <f t="shared" ca="1" si="284"/>
        <v/>
      </c>
      <c r="AA595" s="316" t="str">
        <f t="shared" ca="1" si="285"/>
        <v/>
      </c>
      <c r="AC595" s="310" t="e">
        <f t="shared" ca="1" si="286"/>
        <v>#N/A</v>
      </c>
      <c r="AD595" s="323" t="e">
        <f t="shared" ca="1" si="287"/>
        <v>#N/A</v>
      </c>
      <c r="AE595" s="324" t="e">
        <f t="shared" ca="1" si="266"/>
        <v>#N/A</v>
      </c>
      <c r="AG595" s="306">
        <f t="shared" ca="1" si="288"/>
        <v>8.5397829408172203</v>
      </c>
      <c r="AH595" s="304">
        <f t="shared" ca="1" si="289"/>
        <v>-0.86211024038685258</v>
      </c>
    </row>
    <row r="596" spans="1:34" x14ac:dyDescent="0.2">
      <c r="A596" s="347">
        <f t="shared" ca="1" si="267"/>
        <v>0.1</v>
      </c>
      <c r="B596" s="304">
        <f t="shared" ca="1" si="268"/>
        <v>23.200000000000017</v>
      </c>
      <c r="D596" s="306">
        <f t="shared" ca="1" si="269"/>
        <v>-0.25016160410976124</v>
      </c>
      <c r="E596" s="307">
        <f t="shared" ca="1" si="270"/>
        <v>-8.9519044688917919</v>
      </c>
      <c r="F596" s="304">
        <f t="shared" ca="1" si="271"/>
        <v>8.9553991786148543</v>
      </c>
      <c r="G596" s="306">
        <f t="shared" ca="1" si="272"/>
        <v>13.514633018728436</v>
      </c>
      <c r="H596" s="307">
        <f t="shared" ca="1" si="273"/>
        <v>-47.338418594302162</v>
      </c>
      <c r="I596" s="304">
        <f t="shared" ca="1" si="274"/>
        <v>49.229779408811872</v>
      </c>
      <c r="J596" s="306">
        <f t="shared" ca="1" si="275"/>
        <v>371.11493601034942</v>
      </c>
      <c r="K596" s="307">
        <f t="shared" ca="1" si="276"/>
        <v>1618.6730508614653</v>
      </c>
      <c r="L596" s="304">
        <f t="shared" ca="1" si="261"/>
        <v>1660.6711719407697</v>
      </c>
      <c r="M596" s="306">
        <f t="shared" ca="1" si="277"/>
        <v>-1.2927042750189111</v>
      </c>
      <c r="N596" s="304">
        <f t="shared" ca="1" si="278"/>
        <v>-74.066499117102467</v>
      </c>
      <c r="P596" s="310">
        <f t="shared" ca="1" si="279"/>
        <v>23</v>
      </c>
      <c r="Q596" s="304">
        <f t="shared" ca="1" si="280"/>
        <v>0</v>
      </c>
      <c r="R596" s="306">
        <f t="shared" ca="1" si="281"/>
        <v>0</v>
      </c>
      <c r="S596" s="307">
        <f t="shared" ca="1" si="282"/>
        <v>6.8519999999999914</v>
      </c>
      <c r="T596" s="304">
        <f t="shared" ca="1" si="262"/>
        <v>67.218119999999914</v>
      </c>
      <c r="U596" s="311">
        <f t="shared" ca="1" si="263"/>
        <v>0</v>
      </c>
      <c r="V596" s="306">
        <f t="shared" ca="1" si="264"/>
        <v>1.0415590938314987</v>
      </c>
      <c r="W596" s="304">
        <f t="shared" ca="1" si="265"/>
        <v>6.3453563041628422</v>
      </c>
      <c r="Y596" s="314" t="str">
        <f t="shared" ca="1" si="283"/>
        <v/>
      </c>
      <c r="Z596" s="315" t="str">
        <f t="shared" ca="1" si="284"/>
        <v/>
      </c>
      <c r="AA596" s="316" t="str">
        <f t="shared" ca="1" si="285"/>
        <v/>
      </c>
      <c r="AC596" s="310" t="e">
        <f t="shared" ca="1" si="286"/>
        <v>#N/A</v>
      </c>
      <c r="AD596" s="323" t="e">
        <f t="shared" ca="1" si="287"/>
        <v>#N/A</v>
      </c>
      <c r="AE596" s="324" t="e">
        <f t="shared" ca="1" si="266"/>
        <v>#N/A</v>
      </c>
      <c r="AG596" s="306">
        <f t="shared" ca="1" si="288"/>
        <v>8.5241259468772856</v>
      </c>
      <c r="AH596" s="304">
        <f t="shared" ca="1" si="289"/>
        <v>-0.89381696598277149</v>
      </c>
    </row>
    <row r="597" spans="1:34" x14ac:dyDescent="0.2">
      <c r="A597" s="347">
        <f t="shared" ca="1" si="267"/>
        <v>0.1</v>
      </c>
      <c r="B597" s="304">
        <f t="shared" ca="1" si="268"/>
        <v>23.300000000000018</v>
      </c>
      <c r="D597" s="306">
        <f t="shared" ca="1" si="269"/>
        <v>-0.25422310967691913</v>
      </c>
      <c r="E597" s="307">
        <f t="shared" ca="1" si="270"/>
        <v>-8.9195192917518469</v>
      </c>
      <c r="F597" s="304">
        <f t="shared" ca="1" si="271"/>
        <v>8.9231414751435594</v>
      </c>
      <c r="G597" s="306">
        <f t="shared" ca="1" si="272"/>
        <v>13.489210707760744</v>
      </c>
      <c r="H597" s="307">
        <f t="shared" ca="1" si="273"/>
        <v>-48.230370523477347</v>
      </c>
      <c r="I597" s="304">
        <f t="shared" ca="1" si="274"/>
        <v>50.081208515273268</v>
      </c>
      <c r="J597" s="306">
        <f t="shared" ca="1" si="275"/>
        <v>372.4651281966739</v>
      </c>
      <c r="K597" s="307">
        <f t="shared" ca="1" si="276"/>
        <v>1613.8946114055764</v>
      </c>
      <c r="L597" s="304">
        <f t="shared" ca="1" si="261"/>
        <v>1656.3170253446413</v>
      </c>
      <c r="M597" s="306">
        <f t="shared" ca="1" si="277"/>
        <v>-1.2980816790390726</v>
      </c>
      <c r="N597" s="304">
        <f t="shared" ca="1" si="278"/>
        <v>-74.374601672194402</v>
      </c>
      <c r="P597" s="310">
        <f t="shared" ca="1" si="279"/>
        <v>23</v>
      </c>
      <c r="Q597" s="304">
        <f t="shared" ca="1" si="280"/>
        <v>0</v>
      </c>
      <c r="R597" s="306">
        <f t="shared" ca="1" si="281"/>
        <v>0</v>
      </c>
      <c r="S597" s="307">
        <f t="shared" ca="1" si="282"/>
        <v>6.8519999999999914</v>
      </c>
      <c r="T597" s="304">
        <f t="shared" ca="1" si="262"/>
        <v>67.218119999999914</v>
      </c>
      <c r="U597" s="311">
        <f t="shared" ca="1" si="263"/>
        <v>0</v>
      </c>
      <c r="V597" s="306">
        <f t="shared" ca="1" si="264"/>
        <v>1.0420601888723411</v>
      </c>
      <c r="W597" s="304">
        <f t="shared" ca="1" si="265"/>
        <v>6.5698994663656407</v>
      </c>
      <c r="Y597" s="314" t="str">
        <f t="shared" ca="1" si="283"/>
        <v/>
      </c>
      <c r="Z597" s="315" t="str">
        <f t="shared" ca="1" si="284"/>
        <v/>
      </c>
      <c r="AA597" s="316" t="str">
        <f t="shared" ca="1" si="285"/>
        <v/>
      </c>
      <c r="AC597" s="310" t="e">
        <f t="shared" ca="1" si="286"/>
        <v>#N/A</v>
      </c>
      <c r="AD597" s="323" t="e">
        <f t="shared" ca="1" si="287"/>
        <v>#N/A</v>
      </c>
      <c r="AE597" s="324" t="e">
        <f t="shared" ca="1" si="266"/>
        <v>#N/A</v>
      </c>
      <c r="AG597" s="306">
        <f t="shared" ca="1" si="288"/>
        <v>8.5070502222436488</v>
      </c>
      <c r="AH597" s="304">
        <f t="shared" ca="1" si="289"/>
        <v>-0.92605900527770724</v>
      </c>
    </row>
    <row r="598" spans="1:34" x14ac:dyDescent="0.2">
      <c r="A598" s="347">
        <f t="shared" ca="1" si="267"/>
        <v>0.1</v>
      </c>
      <c r="B598" s="304">
        <f t="shared" ca="1" si="268"/>
        <v>23.40000000000002</v>
      </c>
      <c r="D598" s="306">
        <f t="shared" ca="1" si="269"/>
        <v>-0.25825759830642397</v>
      </c>
      <c r="E598" s="307">
        <f t="shared" ca="1" si="270"/>
        <v>-8.8866057461274615</v>
      </c>
      <c r="F598" s="304">
        <f t="shared" ca="1" si="271"/>
        <v>8.8903576235260982</v>
      </c>
      <c r="G598" s="306">
        <f t="shared" ca="1" si="272"/>
        <v>13.463384947930102</v>
      </c>
      <c r="H598" s="307">
        <f t="shared" ca="1" si="273"/>
        <v>-49.11903109809009</v>
      </c>
      <c r="I598" s="304">
        <f t="shared" ca="1" si="274"/>
        <v>50.930756427440699</v>
      </c>
      <c r="J598" s="306">
        <f t="shared" ca="1" si="275"/>
        <v>373.81275797945847</v>
      </c>
      <c r="K598" s="307">
        <f t="shared" ca="1" si="276"/>
        <v>1609.027141324498</v>
      </c>
      <c r="L598" s="304">
        <f t="shared" ca="1" si="261"/>
        <v>1651.8790269105953</v>
      </c>
      <c r="M598" s="306">
        <f t="shared" ca="1" si="277"/>
        <v>-1.303269710098983</v>
      </c>
      <c r="N598" s="304">
        <f t="shared" ca="1" si="278"/>
        <v>-74.671853955910052</v>
      </c>
      <c r="P598" s="310">
        <f t="shared" ca="1" si="279"/>
        <v>23</v>
      </c>
      <c r="Q598" s="304">
        <f t="shared" ca="1" si="280"/>
        <v>0</v>
      </c>
      <c r="R598" s="306">
        <f t="shared" ca="1" si="281"/>
        <v>0</v>
      </c>
      <c r="S598" s="307">
        <f t="shared" ca="1" si="282"/>
        <v>6.8519999999999914</v>
      </c>
      <c r="T598" s="304">
        <f t="shared" ca="1" si="262"/>
        <v>67.218119999999914</v>
      </c>
      <c r="U598" s="311">
        <f t="shared" ca="1" si="263"/>
        <v>0</v>
      </c>
      <c r="V598" s="306">
        <f t="shared" ca="1" si="264"/>
        <v>1.0425708480320139</v>
      </c>
      <c r="W598" s="304">
        <f t="shared" ca="1" si="265"/>
        <v>6.7980154762394545</v>
      </c>
      <c r="Y598" s="314" t="str">
        <f t="shared" ca="1" si="283"/>
        <v/>
      </c>
      <c r="Z598" s="315" t="str">
        <f t="shared" ca="1" si="284"/>
        <v/>
      </c>
      <c r="AA598" s="316" t="str">
        <f t="shared" ca="1" si="285"/>
        <v/>
      </c>
      <c r="AC598" s="310" t="e">
        <f t="shared" ca="1" si="286"/>
        <v>#N/A</v>
      </c>
      <c r="AD598" s="323" t="e">
        <f t="shared" ca="1" si="287"/>
        <v>#N/A</v>
      </c>
      <c r="AE598" s="324" t="e">
        <f t="shared" ca="1" si="266"/>
        <v>#N/A</v>
      </c>
      <c r="AG598" s="306">
        <f t="shared" ca="1" si="288"/>
        <v>8.4886249608314799</v>
      </c>
      <c r="AH598" s="304">
        <f t="shared" ca="1" si="289"/>
        <v>-0.95882946094069599</v>
      </c>
    </row>
    <row r="599" spans="1:34" x14ac:dyDescent="0.2">
      <c r="A599" s="347">
        <f t="shared" ca="1" si="267"/>
        <v>0.1</v>
      </c>
      <c r="B599" s="304">
        <f t="shared" ca="1" si="268"/>
        <v>23.500000000000021</v>
      </c>
      <c r="D599" s="306">
        <f t="shared" ca="1" si="269"/>
        <v>-0.26226415155857652</v>
      </c>
      <c r="E599" s="307">
        <f t="shared" ca="1" si="270"/>
        <v>-8.8531707132981836</v>
      </c>
      <c r="F599" s="304">
        <f t="shared" ca="1" si="271"/>
        <v>8.8570544857753593</v>
      </c>
      <c r="G599" s="306">
        <f t="shared" ca="1" si="272"/>
        <v>13.437158532774244</v>
      </c>
      <c r="H599" s="307">
        <f t="shared" ca="1" si="273"/>
        <v>-50.004348169419906</v>
      </c>
      <c r="I599" s="304">
        <f t="shared" ca="1" si="274"/>
        <v>51.77829724202482</v>
      </c>
      <c r="J599" s="306">
        <f t="shared" ca="1" si="275"/>
        <v>375.15778515349371</v>
      </c>
      <c r="K599" s="307">
        <f t="shared" ca="1" si="276"/>
        <v>1604.0709723611224</v>
      </c>
      <c r="L599" s="304">
        <f t="shared" ca="1" si="261"/>
        <v>1647.3575957067826</v>
      </c>
      <c r="M599" s="306">
        <f t="shared" ca="1" si="277"/>
        <v>-1.30827808921211</v>
      </c>
      <c r="N599" s="304">
        <f t="shared" ca="1" si="278"/>
        <v>-74.958812941293701</v>
      </c>
      <c r="P599" s="310">
        <f t="shared" ca="1" si="279"/>
        <v>23</v>
      </c>
      <c r="Q599" s="304">
        <f t="shared" ca="1" si="280"/>
        <v>0</v>
      </c>
      <c r="R599" s="306">
        <f t="shared" ca="1" si="281"/>
        <v>0</v>
      </c>
      <c r="S599" s="307">
        <f t="shared" ca="1" si="282"/>
        <v>6.8519999999999914</v>
      </c>
      <c r="T599" s="304">
        <f t="shared" ca="1" si="262"/>
        <v>67.218119999999914</v>
      </c>
      <c r="U599" s="311">
        <f t="shared" ca="1" si="263"/>
        <v>0</v>
      </c>
      <c r="V599" s="306">
        <f t="shared" ca="1" si="264"/>
        <v>1.0430910492604608</v>
      </c>
      <c r="W599" s="304">
        <f t="shared" ca="1" si="265"/>
        <v>7.0296558908204636</v>
      </c>
      <c r="Y599" s="314" t="str">
        <f t="shared" ca="1" si="283"/>
        <v/>
      </c>
      <c r="Z599" s="315" t="str">
        <f t="shared" ca="1" si="284"/>
        <v/>
      </c>
      <c r="AA599" s="316" t="str">
        <f t="shared" ca="1" si="285"/>
        <v/>
      </c>
      <c r="AC599" s="310" t="e">
        <f t="shared" ca="1" si="286"/>
        <v>#N/A</v>
      </c>
      <c r="AD599" s="323" t="e">
        <f t="shared" ca="1" si="287"/>
        <v>#N/A</v>
      </c>
      <c r="AE599" s="324" t="e">
        <f t="shared" ca="1" si="266"/>
        <v>#N/A</v>
      </c>
      <c r="AG599" s="306">
        <f t="shared" ca="1" si="288"/>
        <v>8.4689141612733927</v>
      </c>
      <c r="AH599" s="304">
        <f t="shared" ca="1" si="289"/>
        <v>-0.99212134796256024</v>
      </c>
    </row>
    <row r="600" spans="1:34" x14ac:dyDescent="0.2">
      <c r="A600" s="347">
        <f t="shared" ca="1" si="267"/>
        <v>0.1</v>
      </c>
      <c r="B600" s="304">
        <f t="shared" ca="1" si="268"/>
        <v>23.600000000000023</v>
      </c>
      <c r="D600" s="306">
        <f t="shared" ca="1" si="269"/>
        <v>-0.26624189073081761</v>
      </c>
      <c r="E600" s="307">
        <f t="shared" ca="1" si="270"/>
        <v>-8.8192211706130852</v>
      </c>
      <c r="F600" s="304">
        <f t="shared" ca="1" si="271"/>
        <v>8.8232390198027595</v>
      </c>
      <c r="G600" s="306">
        <f t="shared" ca="1" si="272"/>
        <v>13.410534343701162</v>
      </c>
      <c r="H600" s="307">
        <f t="shared" ca="1" si="273"/>
        <v>-50.886270286481214</v>
      </c>
      <c r="I600" s="304">
        <f t="shared" ca="1" si="274"/>
        <v>52.623710768553842</v>
      </c>
      <c r="J600" s="306">
        <f t="shared" ca="1" si="275"/>
        <v>376.50016979731748</v>
      </c>
      <c r="K600" s="307">
        <f t="shared" ca="1" si="276"/>
        <v>1599.0264414383273</v>
      </c>
      <c r="L600" s="304">
        <f t="shared" ca="1" si="261"/>
        <v>1642.7531580478942</v>
      </c>
      <c r="M600" s="306">
        <f t="shared" ca="1" si="277"/>
        <v>-1.3131159003384099</v>
      </c>
      <c r="N600" s="304">
        <f t="shared" ca="1" si="278"/>
        <v>-75.23599910091211</v>
      </c>
      <c r="P600" s="310">
        <f t="shared" ca="1" si="279"/>
        <v>23</v>
      </c>
      <c r="Q600" s="304">
        <f t="shared" ca="1" si="280"/>
        <v>0</v>
      </c>
      <c r="R600" s="306">
        <f t="shared" ca="1" si="281"/>
        <v>0</v>
      </c>
      <c r="S600" s="307">
        <f t="shared" ca="1" si="282"/>
        <v>6.8519999999999914</v>
      </c>
      <c r="T600" s="304">
        <f t="shared" ca="1" si="262"/>
        <v>67.218119999999914</v>
      </c>
      <c r="U600" s="311">
        <f t="shared" ca="1" si="263"/>
        <v>0</v>
      </c>
      <c r="V600" s="306">
        <f t="shared" ca="1" si="264"/>
        <v>1.0436207701469429</v>
      </c>
      <c r="W600" s="304">
        <f t="shared" ca="1" si="265"/>
        <v>7.2647717047174574</v>
      </c>
      <c r="Y600" s="314" t="str">
        <f t="shared" ca="1" si="283"/>
        <v/>
      </c>
      <c r="Z600" s="315" t="str">
        <f t="shared" ca="1" si="284"/>
        <v/>
      </c>
      <c r="AA600" s="316" t="str">
        <f t="shared" ca="1" si="285"/>
        <v/>
      </c>
      <c r="AC600" s="310" t="e">
        <f t="shared" ca="1" si="286"/>
        <v>#N/A</v>
      </c>
      <c r="AD600" s="323" t="e">
        <f t="shared" ca="1" si="287"/>
        <v>#N/A</v>
      </c>
      <c r="AE600" s="324" t="e">
        <f t="shared" ca="1" si="266"/>
        <v>#N/A</v>
      </c>
      <c r="AG600" s="306">
        <f t="shared" ca="1" si="288"/>
        <v>8.4479771410793987</v>
      </c>
      <c r="AH600" s="304">
        <f t="shared" ca="1" si="289"/>
        <v>-1.0259275964419836</v>
      </c>
    </row>
    <row r="601" spans="1:34" x14ac:dyDescent="0.2">
      <c r="A601" s="347">
        <f t="shared" ca="1" si="267"/>
        <v>0.1</v>
      </c>
      <c r="B601" s="304">
        <f t="shared" ca="1" si="268"/>
        <v>23.700000000000024</v>
      </c>
      <c r="D601" s="306">
        <f t="shared" ca="1" si="269"/>
        <v>-0.27018997453650201</v>
      </c>
      <c r="E601" s="307">
        <f t="shared" ca="1" si="270"/>
        <v>-8.784764187571712</v>
      </c>
      <c r="F601" s="304">
        <f t="shared" ca="1" si="271"/>
        <v>8.7889182755093653</v>
      </c>
      <c r="G601" s="306">
        <f t="shared" ca="1" si="272"/>
        <v>13.383515346247512</v>
      </c>
      <c r="H601" s="307">
        <f t="shared" ca="1" si="273"/>
        <v>-51.764746705238387</v>
      </c>
      <c r="I601" s="304">
        <f t="shared" ca="1" si="274"/>
        <v>53.466882127918502</v>
      </c>
      <c r="J601" s="306">
        <f t="shared" ca="1" si="275"/>
        <v>377.83987228181491</v>
      </c>
      <c r="K601" s="307">
        <f t="shared" ca="1" si="276"/>
        <v>1593.8938905887414</v>
      </c>
      <c r="L601" s="304">
        <f t="shared" ca="1" si="261"/>
        <v>1638.0661474867409</v>
      </c>
      <c r="M601" s="306">
        <f t="shared" ca="1" si="277"/>
        <v>-1.3177916402340342</v>
      </c>
      <c r="N601" s="304">
        <f t="shared" ca="1" si="278"/>
        <v>-75.503899263032324</v>
      </c>
      <c r="P601" s="310">
        <f t="shared" ca="1" si="279"/>
        <v>23</v>
      </c>
      <c r="Q601" s="304">
        <f t="shared" ca="1" si="280"/>
        <v>0</v>
      </c>
      <c r="R601" s="306">
        <f t="shared" ca="1" si="281"/>
        <v>0</v>
      </c>
      <c r="S601" s="307">
        <f t="shared" ca="1" si="282"/>
        <v>6.8519999999999914</v>
      </c>
      <c r="T601" s="304">
        <f t="shared" ca="1" si="262"/>
        <v>67.218119999999914</v>
      </c>
      <c r="U601" s="311">
        <f t="shared" ca="1" si="263"/>
        <v>0</v>
      </c>
      <c r="V601" s="306">
        <f t="shared" ca="1" si="264"/>
        <v>1.0441599879239776</v>
      </c>
      <c r="W601" s="304">
        <f t="shared" ca="1" si="265"/>
        <v>7.5033133695141325</v>
      </c>
      <c r="Y601" s="314" t="str">
        <f t="shared" ca="1" si="283"/>
        <v/>
      </c>
      <c r="Z601" s="315" t="str">
        <f t="shared" ca="1" si="284"/>
        <v/>
      </c>
      <c r="AA601" s="316" t="str">
        <f t="shared" ca="1" si="285"/>
        <v/>
      </c>
      <c r="AC601" s="310" t="e">
        <f t="shared" ca="1" si="286"/>
        <v>#N/A</v>
      </c>
      <c r="AD601" s="323" t="e">
        <f t="shared" ca="1" si="287"/>
        <v>#N/A</v>
      </c>
      <c r="AE601" s="324" t="e">
        <f t="shared" ca="1" si="266"/>
        <v>#N/A</v>
      </c>
      <c r="AG601" s="306">
        <f t="shared" ca="1" si="288"/>
        <v>8.4258689940940172</v>
      </c>
      <c r="AH601" s="304">
        <f t="shared" ca="1" si="289"/>
        <v>-1.060241054395427</v>
      </c>
    </row>
    <row r="602" spans="1:34" x14ac:dyDescent="0.2">
      <c r="A602" s="347">
        <f t="shared" ca="1" si="267"/>
        <v>0.1</v>
      </c>
      <c r="B602" s="304">
        <f t="shared" ca="1" si="268"/>
        <v>23.800000000000026</v>
      </c>
      <c r="D602" s="306">
        <f t="shared" ca="1" si="269"/>
        <v>-0.27410759701133142</v>
      </c>
      <c r="E602" s="307">
        <f t="shared" ca="1" si="270"/>
        <v>-8.7498069220093591</v>
      </c>
      <c r="F602" s="304">
        <f t="shared" ca="1" si="271"/>
        <v>8.7540993909814748</v>
      </c>
      <c r="G602" s="306">
        <f t="shared" ca="1" si="272"/>
        <v>13.356104586546378</v>
      </c>
      <c r="H602" s="307">
        <f t="shared" ca="1" si="273"/>
        <v>-52.639727397439323</v>
      </c>
      <c r="I602" s="304">
        <f t="shared" ca="1" si="274"/>
        <v>54.307701389429923</v>
      </c>
      <c r="J602" s="306">
        <f t="shared" ca="1" si="275"/>
        <v>379.17685327845459</v>
      </c>
      <c r="K602" s="307">
        <f t="shared" ca="1" si="276"/>
        <v>1588.6736668836077</v>
      </c>
      <c r="L602" s="304">
        <f t="shared" ca="1" si="261"/>
        <v>1633.2970048070126</v>
      </c>
      <c r="M602" s="306">
        <f t="shared" ca="1" si="277"/>
        <v>-1.3223132638428823</v>
      </c>
      <c r="N602" s="304">
        <f t="shared" ca="1" si="278"/>
        <v>-75.762969212366031</v>
      </c>
      <c r="P602" s="310">
        <f t="shared" ca="1" si="279"/>
        <v>23</v>
      </c>
      <c r="Q602" s="304">
        <f t="shared" ca="1" si="280"/>
        <v>0</v>
      </c>
      <c r="R602" s="306">
        <f t="shared" ca="1" si="281"/>
        <v>0</v>
      </c>
      <c r="S602" s="307">
        <f t="shared" ca="1" si="282"/>
        <v>6.8519999999999914</v>
      </c>
      <c r="T602" s="304">
        <f t="shared" ca="1" si="262"/>
        <v>67.218119999999914</v>
      </c>
      <c r="U602" s="311">
        <f t="shared" ca="1" si="263"/>
        <v>0</v>
      </c>
      <c r="V602" s="306">
        <f t="shared" ca="1" si="264"/>
        <v>1.0447086794713361</v>
      </c>
      <c r="W602" s="304">
        <f t="shared" ca="1" si="265"/>
        <v>7.7452308133058736</v>
      </c>
      <c r="Y602" s="314" t="str">
        <f t="shared" ca="1" si="283"/>
        <v/>
      </c>
      <c r="Z602" s="315" t="str">
        <f t="shared" ca="1" si="284"/>
        <v/>
      </c>
      <c r="AA602" s="316" t="str">
        <f t="shared" ca="1" si="285"/>
        <v/>
      </c>
      <c r="AC602" s="310" t="e">
        <f t="shared" ca="1" si="286"/>
        <v>#N/A</v>
      </c>
      <c r="AD602" s="323" t="e">
        <f t="shared" ca="1" si="287"/>
        <v>#N/A</v>
      </c>
      <c r="AE602" s="324" t="e">
        <f t="shared" ca="1" si="266"/>
        <v>#N/A</v>
      </c>
      <c r="AG602" s="306">
        <f t="shared" ca="1" si="288"/>
        <v>8.4026409980589207</v>
      </c>
      <c r="AH602" s="304">
        <f t="shared" ca="1" si="289"/>
        <v>-1.095054490588754</v>
      </c>
    </row>
    <row r="603" spans="1:34" x14ac:dyDescent="0.2">
      <c r="A603" s="347">
        <f t="shared" ca="1" si="267"/>
        <v>0.1</v>
      </c>
      <c r="B603" s="304">
        <f t="shared" ca="1" si="268"/>
        <v>23.900000000000027</v>
      </c>
      <c r="D603" s="306">
        <f t="shared" ca="1" si="269"/>
        <v>-0.27799398562226818</v>
      </c>
      <c r="E603" s="307">
        <f t="shared" ca="1" si="270"/>
        <v>-8.7143566163726938</v>
      </c>
      <c r="F603" s="304">
        <f t="shared" ca="1" si="271"/>
        <v>8.7187895887766835</v>
      </c>
      <c r="G603" s="306">
        <f t="shared" ca="1" si="272"/>
        <v>13.328305187984151</v>
      </c>
      <c r="H603" s="307">
        <f t="shared" ca="1" si="273"/>
        <v>-53.511163059076594</v>
      </c>
      <c r="I603" s="304">
        <f t="shared" ca="1" si="274"/>
        <v>55.146063242258087</v>
      </c>
      <c r="J603" s="306">
        <f t="shared" ca="1" si="275"/>
        <v>380.51107376718113</v>
      </c>
      <c r="K603" s="307">
        <f t="shared" ca="1" si="276"/>
        <v>1583.3661223607819</v>
      </c>
      <c r="L603" s="304">
        <f t="shared" ca="1" si="261"/>
        <v>1628.4461780173367</v>
      </c>
      <c r="M603" s="306">
        <f t="shared" ca="1" si="277"/>
        <v>-1.3266882256705543</v>
      </c>
      <c r="N603" s="304">
        <f t="shared" ca="1" si="278"/>
        <v>-76.013636060622488</v>
      </c>
      <c r="P603" s="310">
        <f t="shared" ca="1" si="279"/>
        <v>23</v>
      </c>
      <c r="Q603" s="304">
        <f t="shared" ca="1" si="280"/>
        <v>0</v>
      </c>
      <c r="R603" s="306">
        <f t="shared" ca="1" si="281"/>
        <v>0</v>
      </c>
      <c r="S603" s="307">
        <f t="shared" ca="1" si="282"/>
        <v>6.8519999999999914</v>
      </c>
      <c r="T603" s="304">
        <f t="shared" ca="1" si="262"/>
        <v>67.218119999999914</v>
      </c>
      <c r="U603" s="311">
        <f t="shared" ca="1" si="263"/>
        <v>0</v>
      </c>
      <c r="V603" s="306">
        <f t="shared" ca="1" si="264"/>
        <v>1.0452668213201026</v>
      </c>
      <c r="W603" s="304">
        <f t="shared" ca="1" si="265"/>
        <v>7.9904734603568848</v>
      </c>
      <c r="Y603" s="314" t="str">
        <f t="shared" ca="1" si="283"/>
        <v/>
      </c>
      <c r="Z603" s="315" t="str">
        <f t="shared" ca="1" si="284"/>
        <v/>
      </c>
      <c r="AA603" s="316" t="str">
        <f t="shared" ca="1" si="285"/>
        <v/>
      </c>
      <c r="AC603" s="310" t="e">
        <f t="shared" ca="1" si="286"/>
        <v>#N/A</v>
      </c>
      <c r="AD603" s="323" t="e">
        <f t="shared" ca="1" si="287"/>
        <v>#N/A</v>
      </c>
      <c r="AE603" s="324" t="e">
        <f t="shared" ca="1" si="266"/>
        <v>#N/A</v>
      </c>
      <c r="AG603" s="306">
        <f t="shared" ca="1" si="288"/>
        <v>8.3783409782113889</v>
      </c>
      <c r="AH603" s="304">
        <f t="shared" ca="1" si="289"/>
        <v>-1.1303605973884827</v>
      </c>
    </row>
    <row r="604" spans="1:34" x14ac:dyDescent="0.2">
      <c r="A604" s="347">
        <f t="shared" ca="1" si="267"/>
        <v>0.1</v>
      </c>
      <c r="B604" s="304">
        <f t="shared" ca="1" si="268"/>
        <v>24.000000000000028</v>
      </c>
      <c r="D604" s="306">
        <f t="shared" ca="1" si="269"/>
        <v>-0.28184839955673313</v>
      </c>
      <c r="E604" s="307">
        <f t="shared" ca="1" si="270"/>
        <v>-8.6784205940739554</v>
      </c>
      <c r="F604" s="304">
        <f t="shared" ca="1" si="271"/>
        <v>8.6829961722886662</v>
      </c>
      <c r="G604" s="306">
        <f t="shared" ca="1" si="272"/>
        <v>13.300120348028479</v>
      </c>
      <c r="H604" s="307">
        <f t="shared" ca="1" si="273"/>
        <v>-54.379005118483988</v>
      </c>
      <c r="I604" s="304">
        <f t="shared" ca="1" si="274"/>
        <v>55.981866697602619</v>
      </c>
      <c r="J604" s="306">
        <f t="shared" ca="1" si="275"/>
        <v>381.84249504398178</v>
      </c>
      <c r="K604" s="307">
        <f t="shared" ca="1" si="276"/>
        <v>1577.9716139519039</v>
      </c>
      <c r="L604" s="304">
        <f t="shared" ca="1" si="261"/>
        <v>1623.514122346766</v>
      </c>
      <c r="M604" s="306">
        <f t="shared" ca="1" si="277"/>
        <v>-1.330923517534599</v>
      </c>
      <c r="N604" s="304">
        <f t="shared" ca="1" si="278"/>
        <v>-76.256300409438339</v>
      </c>
      <c r="P604" s="310">
        <f t="shared" ca="1" si="279"/>
        <v>23</v>
      </c>
      <c r="Q604" s="304">
        <f t="shared" ca="1" si="280"/>
        <v>0</v>
      </c>
      <c r="R604" s="306">
        <f t="shared" ca="1" si="281"/>
        <v>0</v>
      </c>
      <c r="S604" s="307">
        <f t="shared" ca="1" si="282"/>
        <v>6.8519999999999914</v>
      </c>
      <c r="T604" s="304">
        <f t="shared" ca="1" si="262"/>
        <v>67.218119999999914</v>
      </c>
      <c r="U604" s="311">
        <f t="shared" ca="1" si="263"/>
        <v>0</v>
      </c>
      <c r="V604" s="306">
        <f t="shared" ca="1" si="264"/>
        <v>1.0458343896567897</v>
      </c>
      <c r="W604" s="304">
        <f t="shared" ca="1" si="265"/>
        <v>8.2389902508638393</v>
      </c>
      <c r="Y604" s="314" t="str">
        <f t="shared" ca="1" si="283"/>
        <v/>
      </c>
      <c r="Z604" s="315" t="str">
        <f t="shared" ca="1" si="284"/>
        <v/>
      </c>
      <c r="AA604" s="316" t="str">
        <f t="shared" ca="1" si="285"/>
        <v/>
      </c>
      <c r="AC604" s="310">
        <f t="shared" ca="1" si="286"/>
        <v>24.000000000000028</v>
      </c>
      <c r="AD604" s="323">
        <f t="shared" ca="1" si="287"/>
        <v>381.84249504398178</v>
      </c>
      <c r="AE604" s="324" t="e">
        <f t="shared" ca="1" si="266"/>
        <v>#N/A</v>
      </c>
      <c r="AG604" s="306">
        <f t="shared" ca="1" si="288"/>
        <v>8.3530136320904287</v>
      </c>
      <c r="AH604" s="304">
        <f t="shared" ca="1" si="289"/>
        <v>-1.1661519936306035</v>
      </c>
    </row>
    <row r="605" spans="1:34" x14ac:dyDescent="0.2">
      <c r="A605" s="347">
        <f t="shared" ca="1" si="267"/>
        <v>0.1</v>
      </c>
      <c r="B605" s="304">
        <f t="shared" ca="1" si="268"/>
        <v>24.10000000000003</v>
      </c>
      <c r="D605" s="306">
        <f t="shared" ca="1" si="269"/>
        <v>-0.28567012817249782</v>
      </c>
      <c r="E605" s="307">
        <f t="shared" ca="1" si="270"/>
        <v>-8.6420062559138451</v>
      </c>
      <c r="F605" s="304">
        <f t="shared" ca="1" si="271"/>
        <v>8.6467265221807565</v>
      </c>
      <c r="G605" s="306">
        <f t="shared" ca="1" si="272"/>
        <v>13.271553335211228</v>
      </c>
      <c r="H605" s="307">
        <f t="shared" ca="1" si="273"/>
        <v>-55.243205744075375</v>
      </c>
      <c r="I605" s="304">
        <f t="shared" ca="1" si="274"/>
        <v>56.815014818369967</v>
      </c>
      <c r="J605" s="306">
        <f t="shared" ca="1" si="275"/>
        <v>383.17107872814375</v>
      </c>
      <c r="K605" s="307">
        <f t="shared" ca="1" si="276"/>
        <v>1572.490503408776</v>
      </c>
      <c r="L605" s="304">
        <f t="shared" ca="1" si="261"/>
        <v>1618.5013002418241</v>
      </c>
      <c r="M605" s="306">
        <f t="shared" ca="1" si="277"/>
        <v>-1.3350257030434067</v>
      </c>
      <c r="N605" s="304">
        <f t="shared" ca="1" si="278"/>
        <v>-76.491338325872746</v>
      </c>
      <c r="P605" s="310">
        <f t="shared" ca="1" si="279"/>
        <v>23</v>
      </c>
      <c r="Q605" s="304">
        <f t="shared" ca="1" si="280"/>
        <v>0</v>
      </c>
      <c r="R605" s="306">
        <f t="shared" ca="1" si="281"/>
        <v>0</v>
      </c>
      <c r="S605" s="307">
        <f t="shared" ca="1" si="282"/>
        <v>6.8519999999999914</v>
      </c>
      <c r="T605" s="304">
        <f t="shared" ca="1" si="262"/>
        <v>67.218119999999914</v>
      </c>
      <c r="U605" s="311">
        <f t="shared" ca="1" si="263"/>
        <v>0</v>
      </c>
      <c r="V605" s="306">
        <f t="shared" ca="1" si="264"/>
        <v>1.0464113603275094</v>
      </c>
      <c r="W605" s="304">
        <f t="shared" ca="1" si="265"/>
        <v>8.490729660812427</v>
      </c>
      <c r="Y605" s="314" t="str">
        <f t="shared" ca="1" si="283"/>
        <v/>
      </c>
      <c r="Z605" s="315" t="str">
        <f t="shared" ca="1" si="284"/>
        <v/>
      </c>
      <c r="AA605" s="316" t="str">
        <f t="shared" ca="1" si="285"/>
        <v/>
      </c>
      <c r="AC605" s="310" t="e">
        <f t="shared" ca="1" si="286"/>
        <v>#N/A</v>
      </c>
      <c r="AD605" s="323" t="e">
        <f t="shared" ca="1" si="287"/>
        <v>#N/A</v>
      </c>
      <c r="AE605" s="324" t="e">
        <f t="shared" ca="1" si="266"/>
        <v>#N/A</v>
      </c>
      <c r="AG605" s="306">
        <f t="shared" ca="1" si="288"/>
        <v>8.3267008200664545</v>
      </c>
      <c r="AH605" s="304">
        <f t="shared" ca="1" si="289"/>
        <v>-1.2024212275049402</v>
      </c>
    </row>
    <row r="606" spans="1:34" x14ac:dyDescent="0.2">
      <c r="A606" s="347">
        <f t="shared" ca="1" si="267"/>
        <v>0.1</v>
      </c>
      <c r="B606" s="304">
        <f t="shared" ca="1" si="268"/>
        <v>24.200000000000031</v>
      </c>
      <c r="D606" s="306">
        <f t="shared" ca="1" si="269"/>
        <v>-0.28945848959095921</v>
      </c>
      <c r="E606" s="307">
        <f t="shared" ca="1" si="270"/>
        <v>-8.6051210765647603</v>
      </c>
      <c r="F606" s="304">
        <f t="shared" ca="1" si="271"/>
        <v>8.6099880928799966</v>
      </c>
      <c r="G606" s="306">
        <f t="shared" ca="1" si="272"/>
        <v>13.242607486252133</v>
      </c>
      <c r="H606" s="307">
        <f t="shared" ca="1" si="273"/>
        <v>-56.103717851731851</v>
      </c>
      <c r="I606" s="304">
        <f t="shared" ca="1" si="274"/>
        <v>57.64541447350063</v>
      </c>
      <c r="J606" s="306">
        <f t="shared" ca="1" si="275"/>
        <v>384.4967867692169</v>
      </c>
      <c r="K606" s="307">
        <f t="shared" ca="1" si="276"/>
        <v>1566.9231572289857</v>
      </c>
      <c r="L606" s="304">
        <f t="shared" ca="1" si="261"/>
        <v>1613.4081813652444</v>
      </c>
      <c r="M606" s="306">
        <f t="shared" ca="1" si="277"/>
        <v>-1.339000949119125</v>
      </c>
      <c r="N606" s="304">
        <f t="shared" ca="1" si="278"/>
        <v>-76.719103148537357</v>
      </c>
      <c r="P606" s="310">
        <f t="shared" ca="1" si="279"/>
        <v>23</v>
      </c>
      <c r="Q606" s="304">
        <f t="shared" ca="1" si="280"/>
        <v>0</v>
      </c>
      <c r="R606" s="306">
        <f t="shared" ca="1" si="281"/>
        <v>0</v>
      </c>
      <c r="S606" s="307">
        <f t="shared" ca="1" si="282"/>
        <v>6.8519999999999914</v>
      </c>
      <c r="T606" s="304">
        <f t="shared" ca="1" si="262"/>
        <v>67.218119999999914</v>
      </c>
      <c r="U606" s="311">
        <f t="shared" ca="1" si="263"/>
        <v>0</v>
      </c>
      <c r="V606" s="306">
        <f t="shared" ca="1" si="264"/>
        <v>1.046997708842198</v>
      </c>
      <c r="W606" s="304">
        <f t="shared" ca="1" si="265"/>
        <v>8.7456397219133262</v>
      </c>
      <c r="Y606" s="314" t="str">
        <f t="shared" ca="1" si="283"/>
        <v/>
      </c>
      <c r="Z606" s="315" t="str">
        <f t="shared" ca="1" si="284"/>
        <v/>
      </c>
      <c r="AA606" s="316" t="str">
        <f t="shared" ca="1" si="285"/>
        <v/>
      </c>
      <c r="AC606" s="310" t="e">
        <f t="shared" ca="1" si="286"/>
        <v>#N/A</v>
      </c>
      <c r="AD606" s="323" t="e">
        <f t="shared" ca="1" si="287"/>
        <v>#N/A</v>
      </c>
      <c r="AE606" s="324" t="e">
        <f t="shared" ca="1" si="266"/>
        <v>#N/A</v>
      </c>
      <c r="AG606" s="306">
        <f t="shared" ca="1" si="288"/>
        <v>8.2994418255427416</v>
      </c>
      <c r="AH606" s="304">
        <f t="shared" ca="1" si="289"/>
        <v>-1.2391607794530703</v>
      </c>
    </row>
    <row r="607" spans="1:34" x14ac:dyDescent="0.2">
      <c r="A607" s="347">
        <f t="shared" ca="1" si="267"/>
        <v>0.1</v>
      </c>
      <c r="B607" s="304">
        <f t="shared" ca="1" si="268"/>
        <v>24.300000000000033</v>
      </c>
      <c r="D607" s="306">
        <f t="shared" ca="1" si="269"/>
        <v>-0.29321282941846899</v>
      </c>
      <c r="E607" s="307">
        <f t="shared" ca="1" si="270"/>
        <v>-8.5677726011074675</v>
      </c>
      <c r="F607" s="304">
        <f t="shared" ca="1" si="271"/>
        <v>8.5727884091247351</v>
      </c>
      <c r="G607" s="306">
        <f t="shared" ca="1" si="272"/>
        <v>13.213286203310286</v>
      </c>
      <c r="H607" s="307">
        <f t="shared" ca="1" si="273"/>
        <v>-56.960495111842597</v>
      </c>
      <c r="I607" s="304">
        <f t="shared" ca="1" si="274"/>
        <v>58.472976114414038</v>
      </c>
      <c r="J607" s="306">
        <f t="shared" ca="1" si="275"/>
        <v>385.81958145369504</v>
      </c>
      <c r="K607" s="307">
        <f t="shared" ca="1" si="276"/>
        <v>1561.2699465808071</v>
      </c>
      <c r="L607" s="304">
        <f t="shared" ca="1" si="261"/>
        <v>1608.2352425965364</v>
      </c>
      <c r="M607" s="306">
        <f t="shared" ca="1" si="277"/>
        <v>-1.3428550548470612</v>
      </c>
      <c r="N607" s="304">
        <f t="shared" ca="1" si="278"/>
        <v>-76.939927140545294</v>
      </c>
      <c r="P607" s="310">
        <f t="shared" ca="1" si="279"/>
        <v>23</v>
      </c>
      <c r="Q607" s="304">
        <f t="shared" ca="1" si="280"/>
        <v>0</v>
      </c>
      <c r="R607" s="306">
        <f t="shared" ca="1" si="281"/>
        <v>0</v>
      </c>
      <c r="S607" s="307">
        <f t="shared" ca="1" si="282"/>
        <v>6.8519999999999914</v>
      </c>
      <c r="T607" s="304">
        <f t="shared" ca="1" si="262"/>
        <v>67.218119999999914</v>
      </c>
      <c r="U607" s="311">
        <f t="shared" ca="1" si="263"/>
        <v>0</v>
      </c>
      <c r="V607" s="306">
        <f t="shared" ca="1" si="264"/>
        <v>1.0475934103788926</v>
      </c>
      <c r="W607" s="304">
        <f t="shared" ca="1" si="265"/>
        <v>9.0036680416043549</v>
      </c>
      <c r="Y607" s="314" t="str">
        <f t="shared" ca="1" si="283"/>
        <v/>
      </c>
      <c r="Z607" s="315" t="str">
        <f t="shared" ca="1" si="284"/>
        <v/>
      </c>
      <c r="AA607" s="316" t="str">
        <f t="shared" ca="1" si="285"/>
        <v/>
      </c>
      <c r="AC607" s="310" t="e">
        <f t="shared" ca="1" si="286"/>
        <v>#N/A</v>
      </c>
      <c r="AD607" s="323" t="e">
        <f t="shared" ca="1" si="287"/>
        <v>#N/A</v>
      </c>
      <c r="AE607" s="324" t="e">
        <f t="shared" ca="1" si="266"/>
        <v>#N/A</v>
      </c>
      <c r="AG607" s="306">
        <f t="shared" ca="1" si="288"/>
        <v>8.2712735882850374</v>
      </c>
      <c r="AH607" s="304">
        <f t="shared" ca="1" si="289"/>
        <v>-1.2763630650778368</v>
      </c>
    </row>
    <row r="608" spans="1:34" x14ac:dyDescent="0.2">
      <c r="A608" s="347">
        <f t="shared" ca="1" si="267"/>
        <v>0.1</v>
      </c>
      <c r="B608" s="304">
        <f t="shared" ca="1" si="268"/>
        <v>24.400000000000034</v>
      </c>
      <c r="D608" s="306">
        <f t="shared" ca="1" si="269"/>
        <v>-0.29693251958213912</v>
      </c>
      <c r="E608" s="307">
        <f t="shared" ca="1" si="270"/>
        <v>-8.5299684416153596</v>
      </c>
      <c r="F608" s="304">
        <f t="shared" ca="1" si="271"/>
        <v>8.535135062559899</v>
      </c>
      <c r="G608" s="306">
        <f t="shared" ca="1" si="272"/>
        <v>13.183592951352072</v>
      </c>
      <c r="H608" s="307">
        <f t="shared" ca="1" si="273"/>
        <v>-57.813491956004135</v>
      </c>
      <c r="I608" s="304">
        <f t="shared" ca="1" si="274"/>
        <v>59.297613571322536</v>
      </c>
      <c r="J608" s="306">
        <f t="shared" ca="1" si="275"/>
        <v>387.13942541142814</v>
      </c>
      <c r="K608" s="307">
        <f t="shared" ca="1" si="276"/>
        <v>1555.5312472274147</v>
      </c>
      <c r="L608" s="304">
        <f t="shared" ca="1" si="261"/>
        <v>1602.9829680345226</v>
      </c>
      <c r="M608" s="306">
        <f t="shared" ca="1" si="277"/>
        <v>-1.3465934779047417</v>
      </c>
      <c r="N608" s="304">
        <f t="shared" ca="1" si="278"/>
        <v>-77.154123003784775</v>
      </c>
      <c r="P608" s="310">
        <f t="shared" ca="1" si="279"/>
        <v>23</v>
      </c>
      <c r="Q608" s="304">
        <f t="shared" ca="1" si="280"/>
        <v>0</v>
      </c>
      <c r="R608" s="306">
        <f t="shared" ca="1" si="281"/>
        <v>0</v>
      </c>
      <c r="S608" s="307">
        <f t="shared" ca="1" si="282"/>
        <v>6.8519999999999914</v>
      </c>
      <c r="T608" s="304">
        <f t="shared" ca="1" si="262"/>
        <v>67.218119999999914</v>
      </c>
      <c r="U608" s="311">
        <f t="shared" ca="1" si="263"/>
        <v>0</v>
      </c>
      <c r="V608" s="306">
        <f t="shared" ca="1" si="264"/>
        <v>1.0481984397880537</v>
      </c>
      <c r="W608" s="304">
        <f t="shared" ca="1" si="265"/>
        <v>9.2647618231056708</v>
      </c>
      <c r="Y608" s="314" t="str">
        <f t="shared" ca="1" si="283"/>
        <v/>
      </c>
      <c r="Z608" s="315" t="str">
        <f t="shared" ca="1" si="284"/>
        <v/>
      </c>
      <c r="AA608" s="316" t="str">
        <f t="shared" ca="1" si="285"/>
        <v/>
      </c>
      <c r="AC608" s="310" t="e">
        <f t="shared" ca="1" si="286"/>
        <v>#N/A</v>
      </c>
      <c r="AD608" s="323" t="e">
        <f t="shared" ca="1" si="287"/>
        <v>#N/A</v>
      </c>
      <c r="AE608" s="324" t="e">
        <f t="shared" ca="1" si="266"/>
        <v>#N/A</v>
      </c>
      <c r="AG608" s="306">
        <f t="shared" ca="1" si="288"/>
        <v>8.242230913909145</v>
      </c>
      <c r="AH608" s="304">
        <f t="shared" ca="1" si="289"/>
        <v>-1.3140204380625169</v>
      </c>
    </row>
    <row r="609" spans="1:34" x14ac:dyDescent="0.2">
      <c r="A609" s="347">
        <f t="shared" ca="1" si="267"/>
        <v>0.1</v>
      </c>
      <c r="B609" s="304">
        <f t="shared" ca="1" si="268"/>
        <v>24.500000000000036</v>
      </c>
      <c r="D609" s="306">
        <f t="shared" ca="1" si="269"/>
        <v>-0.30061695726807125</v>
      </c>
      <c r="E609" s="307">
        <f t="shared" ca="1" si="270"/>
        <v>-8.4917162737815222</v>
      </c>
      <c r="F609" s="304">
        <f t="shared" ca="1" si="271"/>
        <v>8.4970357083751882</v>
      </c>
      <c r="G609" s="306">
        <f t="shared" ca="1" si="272"/>
        <v>13.153531255625264</v>
      </c>
      <c r="H609" s="307">
        <f t="shared" ca="1" si="273"/>
        <v>-58.66266358338229</v>
      </c>
      <c r="I609" s="304">
        <f t="shared" ca="1" si="274"/>
        <v>60.119243867415676</v>
      </c>
      <c r="J609" s="306">
        <f t="shared" ca="1" si="275"/>
        <v>388.45628162177701</v>
      </c>
      <c r="K609" s="307">
        <f t="shared" ca="1" si="276"/>
        <v>1549.7074394504455</v>
      </c>
      <c r="L609" s="304">
        <f t="shared" ca="1" si="261"/>
        <v>1597.6518490019887</v>
      </c>
      <c r="M609" s="306">
        <f t="shared" ca="1" si="277"/>
        <v>-1.3502213587977188</v>
      </c>
      <c r="N609" s="304">
        <f t="shared" ca="1" si="278"/>
        <v>-77.36198526752851</v>
      </c>
      <c r="P609" s="310">
        <f t="shared" ca="1" si="279"/>
        <v>23</v>
      </c>
      <c r="Q609" s="304">
        <f t="shared" ca="1" si="280"/>
        <v>0</v>
      </c>
      <c r="R609" s="306">
        <f t="shared" ca="1" si="281"/>
        <v>0</v>
      </c>
      <c r="S609" s="307">
        <f t="shared" ca="1" si="282"/>
        <v>6.8519999999999914</v>
      </c>
      <c r="T609" s="304">
        <f t="shared" ca="1" si="262"/>
        <v>67.218119999999914</v>
      </c>
      <c r="U609" s="311">
        <f t="shared" ca="1" si="263"/>
        <v>0</v>
      </c>
      <c r="V609" s="306">
        <f t="shared" ca="1" si="264"/>
        <v>1.0488127715969395</v>
      </c>
      <c r="W609" s="304">
        <f t="shared" ca="1" si="265"/>
        <v>9.5288678855152398</v>
      </c>
      <c r="Y609" s="314" t="str">
        <f t="shared" ca="1" si="283"/>
        <v/>
      </c>
      <c r="Z609" s="315" t="str">
        <f t="shared" ca="1" si="284"/>
        <v/>
      </c>
      <c r="AA609" s="316" t="str">
        <f t="shared" ca="1" si="285"/>
        <v/>
      </c>
      <c r="AC609" s="310" t="e">
        <f t="shared" ca="1" si="286"/>
        <v>#N/A</v>
      </c>
      <c r="AD609" s="323" t="e">
        <f t="shared" ca="1" si="287"/>
        <v>#N/A</v>
      </c>
      <c r="AE609" s="324" t="e">
        <f t="shared" ca="1" si="266"/>
        <v>#N/A</v>
      </c>
      <c r="AG609" s="306">
        <f t="shared" ca="1" si="288"/>
        <v>8.2123466621859187</v>
      </c>
      <c r="AH609" s="304">
        <f t="shared" ca="1" si="289"/>
        <v>-1.3521251930977354</v>
      </c>
    </row>
    <row r="610" spans="1:34" x14ac:dyDescent="0.2">
      <c r="A610" s="347">
        <f t="shared" ca="1" si="267"/>
        <v>0.1</v>
      </c>
      <c r="B610" s="304">
        <f t="shared" ca="1" si="268"/>
        <v>24.600000000000037</v>
      </c>
      <c r="D610" s="306">
        <f t="shared" ca="1" si="269"/>
        <v>-0.3042655639513035</v>
      </c>
      <c r="E610" s="307">
        <f t="shared" ca="1" si="270"/>
        <v>-8.4530238335846093</v>
      </c>
      <c r="F610" s="304">
        <f t="shared" ca="1" si="271"/>
        <v>8.4584980619821657</v>
      </c>
      <c r="G610" s="306">
        <f t="shared" ca="1" si="272"/>
        <v>13.123104699230133</v>
      </c>
      <c r="H610" s="307">
        <f t="shared" ca="1" si="273"/>
        <v>-59.507965966740748</v>
      </c>
      <c r="I610" s="304">
        <f t="shared" ca="1" si="274"/>
        <v>60.937787049135046</v>
      </c>
      <c r="J610" s="306">
        <f t="shared" ca="1" si="275"/>
        <v>389.77011341951976</v>
      </c>
      <c r="K610" s="307">
        <f t="shared" ca="1" si="276"/>
        <v>1543.7989079729393</v>
      </c>
      <c r="L610" s="304">
        <f t="shared" ca="1" si="261"/>
        <v>1592.2423840525994</v>
      </c>
      <c r="M610" s="306">
        <f t="shared" ca="1" si="277"/>
        <v>-1.3537435431059814</v>
      </c>
      <c r="N610" s="304">
        <f t="shared" ca="1" si="278"/>
        <v>-77.563791563059169</v>
      </c>
      <c r="P610" s="310">
        <f t="shared" ca="1" si="279"/>
        <v>23</v>
      </c>
      <c r="Q610" s="304">
        <f t="shared" ca="1" si="280"/>
        <v>0</v>
      </c>
      <c r="R610" s="306">
        <f t="shared" ca="1" si="281"/>
        <v>0</v>
      </c>
      <c r="S610" s="307">
        <f t="shared" ca="1" si="282"/>
        <v>6.8519999999999914</v>
      </c>
      <c r="T610" s="304">
        <f t="shared" ca="1" si="262"/>
        <v>67.218119999999914</v>
      </c>
      <c r="U610" s="311">
        <f t="shared" ca="1" si="263"/>
        <v>0</v>
      </c>
      <c r="V610" s="306">
        <f t="shared" ca="1" si="264"/>
        <v>1.0494363800140216</v>
      </c>
      <c r="W610" s="304">
        <f t="shared" ca="1" si="265"/>
        <v>9.795932683931678</v>
      </c>
      <c r="Y610" s="314" t="str">
        <f t="shared" ca="1" si="283"/>
        <v/>
      </c>
      <c r="Z610" s="315" t="str">
        <f t="shared" ca="1" si="284"/>
        <v/>
      </c>
      <c r="AA610" s="316" t="str">
        <f t="shared" ca="1" si="285"/>
        <v/>
      </c>
      <c r="AC610" s="310" t="e">
        <f t="shared" ca="1" si="286"/>
        <v>#N/A</v>
      </c>
      <c r="AD610" s="323" t="e">
        <f t="shared" ca="1" si="287"/>
        <v>#N/A</v>
      </c>
      <c r="AE610" s="324" t="e">
        <f t="shared" ca="1" si="266"/>
        <v>#N/A</v>
      </c>
      <c r="AG610" s="306">
        <f t="shared" ca="1" si="288"/>
        <v>8.181651916501167</v>
      </c>
      <c r="AH610" s="304">
        <f t="shared" ca="1" si="289"/>
        <v>-1.3906695688142516</v>
      </c>
    </row>
    <row r="611" spans="1:34" x14ac:dyDescent="0.2">
      <c r="A611" s="347">
        <f t="shared" ca="1" si="267"/>
        <v>0.1</v>
      </c>
      <c r="B611" s="304">
        <f t="shared" ca="1" si="268"/>
        <v>24.700000000000038</v>
      </c>
      <c r="D611" s="306">
        <f t="shared" ca="1" si="269"/>
        <v>-0.30787778450794545</v>
      </c>
      <c r="E611" s="307">
        <f t="shared" ca="1" si="270"/>
        <v>-8.4138989139902876</v>
      </c>
      <c r="F611" s="304">
        <f t="shared" ca="1" si="271"/>
        <v>8.4195298957269848</v>
      </c>
      <c r="G611" s="306">
        <f t="shared" ca="1" si="272"/>
        <v>13.092316920779339</v>
      </c>
      <c r="H611" s="307">
        <f t="shared" ca="1" si="273"/>
        <v>-60.349355858139774</v>
      </c>
      <c r="I611" s="304">
        <f t="shared" ca="1" si="274"/>
        <v>61.753166030953544</v>
      </c>
      <c r="J611" s="306">
        <f t="shared" ca="1" si="275"/>
        <v>391.08088450052026</v>
      </c>
      <c r="K611" s="307">
        <f t="shared" ca="1" si="276"/>
        <v>1537.8060418816954</v>
      </c>
      <c r="L611" s="304">
        <f t="shared" ca="1" si="261"/>
        <v>1586.7550789802299</v>
      </c>
      <c r="M611" s="306">
        <f t="shared" ca="1" si="277"/>
        <v>-1.3571646019241272</v>
      </c>
      <c r="N611" s="304">
        <f t="shared" ca="1" si="278"/>
        <v>-77.759803794804938</v>
      </c>
      <c r="P611" s="310">
        <f t="shared" ca="1" si="279"/>
        <v>23</v>
      </c>
      <c r="Q611" s="304">
        <f t="shared" ca="1" si="280"/>
        <v>0</v>
      </c>
      <c r="R611" s="306">
        <f t="shared" ca="1" si="281"/>
        <v>0</v>
      </c>
      <c r="S611" s="307">
        <f t="shared" ca="1" si="282"/>
        <v>6.8519999999999914</v>
      </c>
      <c r="T611" s="304">
        <f t="shared" ca="1" si="262"/>
        <v>67.218119999999914</v>
      </c>
      <c r="U611" s="311">
        <f t="shared" ca="1" si="263"/>
        <v>0</v>
      </c>
      <c r="V611" s="306">
        <f t="shared" ca="1" si="264"/>
        <v>1.0500692389334476</v>
      </c>
      <c r="W611" s="304">
        <f t="shared" ca="1" si="265"/>
        <v>10.065902329592118</v>
      </c>
      <c r="Y611" s="314" t="str">
        <f t="shared" ca="1" si="283"/>
        <v/>
      </c>
      <c r="Z611" s="315" t="str">
        <f t="shared" ca="1" si="284"/>
        <v/>
      </c>
      <c r="AA611" s="316" t="str">
        <f t="shared" ca="1" si="285"/>
        <v/>
      </c>
      <c r="AC611" s="310" t="e">
        <f t="shared" ca="1" si="286"/>
        <v>#N/A</v>
      </c>
      <c r="AD611" s="323" t="e">
        <f t="shared" ca="1" si="287"/>
        <v>#N/A</v>
      </c>
      <c r="AE611" s="324" t="e">
        <f t="shared" ca="1" si="266"/>
        <v>#N/A</v>
      </c>
      <c r="AG611" s="306">
        <f t="shared" ca="1" si="288"/>
        <v>8.1501761365276817</v>
      </c>
      <c r="AH611" s="304">
        <f t="shared" ca="1" si="289"/>
        <v>-1.4296457507197446</v>
      </c>
    </row>
    <row r="612" spans="1:34" x14ac:dyDescent="0.2">
      <c r="A612" s="347">
        <f t="shared" ca="1" si="267"/>
        <v>0.1</v>
      </c>
      <c r="B612" s="304">
        <f t="shared" ca="1" si="268"/>
        <v>24.80000000000004</v>
      </c>
      <c r="D612" s="306">
        <f t="shared" ca="1" si="269"/>
        <v>-0.31145308640102248</v>
      </c>
      <c r="E612" s="307">
        <f t="shared" ca="1" si="270"/>
        <v>-8.3743493616856028</v>
      </c>
      <c r="F612" s="304">
        <f t="shared" ca="1" si="271"/>
        <v>8.3801390356361498</v>
      </c>
      <c r="G612" s="306">
        <f t="shared" ca="1" si="272"/>
        <v>13.061171612139237</v>
      </c>
      <c r="H612" s="307">
        <f t="shared" ca="1" si="273"/>
        <v>-61.186790794308337</v>
      </c>
      <c r="I612" s="304">
        <f t="shared" ca="1" si="274"/>
        <v>62.565306453242975</v>
      </c>
      <c r="J612" s="306">
        <f t="shared" ca="1" si="275"/>
        <v>392.38855892716617</v>
      </c>
      <c r="K612" s="307">
        <f t="shared" ca="1" si="276"/>
        <v>1531.729234549073</v>
      </c>
      <c r="L612" s="304">
        <f t="shared" ca="1" si="261"/>
        <v>1581.1904468308767</v>
      </c>
      <c r="M612" s="306">
        <f t="shared" ca="1" si="277"/>
        <v>-1.3604888506599984</v>
      </c>
      <c r="N612" s="304">
        <f t="shared" ca="1" si="278"/>
        <v>-77.950269217422047</v>
      </c>
      <c r="P612" s="310">
        <f t="shared" ca="1" si="279"/>
        <v>23</v>
      </c>
      <c r="Q612" s="304">
        <f t="shared" ca="1" si="280"/>
        <v>0</v>
      </c>
      <c r="R612" s="306">
        <f t="shared" ca="1" si="281"/>
        <v>0</v>
      </c>
      <c r="S612" s="307">
        <f t="shared" ca="1" si="282"/>
        <v>6.8519999999999914</v>
      </c>
      <c r="T612" s="304">
        <f t="shared" ca="1" si="262"/>
        <v>67.218119999999914</v>
      </c>
      <c r="U612" s="311">
        <f t="shared" ca="1" si="263"/>
        <v>0</v>
      </c>
      <c r="V612" s="306">
        <f t="shared" ca="1" si="264"/>
        <v>1.0507113219395443</v>
      </c>
      <c r="W612" s="304">
        <f t="shared" ca="1" si="265"/>
        <v>10.338722610012526</v>
      </c>
      <c r="Y612" s="314" t="str">
        <f t="shared" ca="1" si="283"/>
        <v/>
      </c>
      <c r="Z612" s="315" t="str">
        <f t="shared" ca="1" si="284"/>
        <v/>
      </c>
      <c r="AA612" s="316" t="str">
        <f t="shared" ca="1" si="285"/>
        <v/>
      </c>
      <c r="AC612" s="310" t="e">
        <f t="shared" ca="1" si="286"/>
        <v>#N/A</v>
      </c>
      <c r="AD612" s="323" t="e">
        <f t="shared" ca="1" si="287"/>
        <v>#N/A</v>
      </c>
      <c r="AE612" s="324" t="e">
        <f t="shared" ca="1" si="266"/>
        <v>#N/A</v>
      </c>
      <c r="AG612" s="306">
        <f t="shared" ca="1" si="288"/>
        <v>8.1179472959225087</v>
      </c>
      <c r="AH612" s="304">
        <f t="shared" ca="1" si="289"/>
        <v>-1.4690458741377892</v>
      </c>
    </row>
    <row r="613" spans="1:34" x14ac:dyDescent="0.2">
      <c r="A613" s="347">
        <f t="shared" ca="1" si="267"/>
        <v>0.1</v>
      </c>
      <c r="B613" s="304">
        <f t="shared" ca="1" si="268"/>
        <v>24.900000000000041</v>
      </c>
      <c r="D613" s="306">
        <f t="shared" ca="1" si="269"/>
        <v>-0.31499095893245177</v>
      </c>
      <c r="E613" s="307">
        <f t="shared" ca="1" si="270"/>
        <v>-8.3343830738441849</v>
      </c>
      <c r="F613" s="304">
        <f t="shared" ca="1" si="271"/>
        <v>8.3403333581931616</v>
      </c>
      <c r="G613" s="306">
        <f t="shared" ca="1" si="272"/>
        <v>13.029672516245991</v>
      </c>
      <c r="H613" s="307">
        <f t="shared" ca="1" si="273"/>
        <v>-62.020229101692756</v>
      </c>
      <c r="I613" s="304">
        <f t="shared" ca="1" si="274"/>
        <v>63.374136551964739</v>
      </c>
      <c r="J613" s="306">
        <f t="shared" ca="1" si="275"/>
        <v>393.69310113358546</v>
      </c>
      <c r="K613" s="307">
        <f t="shared" ca="1" si="276"/>
        <v>1525.568883554273</v>
      </c>
      <c r="L613" s="304">
        <f t="shared" ca="1" si="261"/>
        <v>1575.5490079173071</v>
      </c>
      <c r="M613" s="306">
        <f t="shared" ca="1" si="277"/>
        <v>-1.363720366340013</v>
      </c>
      <c r="N613" s="304">
        <f t="shared" ca="1" si="278"/>
        <v>-78.13542142731724</v>
      </c>
      <c r="P613" s="310">
        <f t="shared" ca="1" si="279"/>
        <v>23</v>
      </c>
      <c r="Q613" s="304">
        <f t="shared" ca="1" si="280"/>
        <v>0</v>
      </c>
      <c r="R613" s="306">
        <f t="shared" ca="1" si="281"/>
        <v>0</v>
      </c>
      <c r="S613" s="307">
        <f t="shared" ca="1" si="282"/>
        <v>6.8519999999999914</v>
      </c>
      <c r="T613" s="304">
        <f t="shared" ca="1" si="262"/>
        <v>67.218119999999914</v>
      </c>
      <c r="U613" s="311">
        <f t="shared" ca="1" si="263"/>
        <v>0</v>
      </c>
      <c r="V613" s="306">
        <f t="shared" ca="1" si="264"/>
        <v>1.0513626023113585</v>
      </c>
      <c r="W613" s="304">
        <f t="shared" ca="1" si="265"/>
        <v>10.614339009118412</v>
      </c>
      <c r="Y613" s="314" t="str">
        <f t="shared" ca="1" si="283"/>
        <v/>
      </c>
      <c r="Z613" s="315" t="str">
        <f t="shared" ca="1" si="284"/>
        <v/>
      </c>
      <c r="AA613" s="316" t="str">
        <f t="shared" ca="1" si="285"/>
        <v/>
      </c>
      <c r="AC613" s="310" t="e">
        <f t="shared" ca="1" si="286"/>
        <v>#N/A</v>
      </c>
      <c r="AD613" s="323" t="e">
        <f t="shared" ca="1" si="287"/>
        <v>#N/A</v>
      </c>
      <c r="AE613" s="324" t="e">
        <f t="shared" ca="1" si="266"/>
        <v>#N/A</v>
      </c>
      <c r="AG613" s="306">
        <f t="shared" ca="1" si="288"/>
        <v>8.0849920066493972</v>
      </c>
      <c r="AH613" s="304">
        <f t="shared" ca="1" si="289"/>
        <v>-1.5088620271471891</v>
      </c>
    </row>
    <row r="614" spans="1:34" x14ac:dyDescent="0.2">
      <c r="A614" s="347">
        <f t="shared" ca="1" si="267"/>
        <v>0.1</v>
      </c>
      <c r="B614" s="304">
        <f t="shared" ca="1" si="268"/>
        <v>25.000000000000043</v>
      </c>
      <c r="D614" s="306">
        <f t="shared" ca="1" si="269"/>
        <v>-0.31849091255440709</v>
      </c>
      <c r="E614" s="307">
        <f t="shared" ca="1" si="270"/>
        <v>-8.2940079949206158</v>
      </c>
      <c r="F614" s="304">
        <f t="shared" ca="1" si="271"/>
        <v>8.3001207871444151</v>
      </c>
      <c r="G614" s="306">
        <f t="shared" ca="1" si="272"/>
        <v>12.997823424990552</v>
      </c>
      <c r="H614" s="307">
        <f t="shared" ca="1" si="273"/>
        <v>-62.849629901184819</v>
      </c>
      <c r="I614" s="304">
        <f t="shared" ca="1" si="274"/>
        <v>64.179587039051114</v>
      </c>
      <c r="J614" s="306">
        <f t="shared" ca="1" si="275"/>
        <v>394.9944759306473</v>
      </c>
      <c r="K614" s="307">
        <f t="shared" ca="1" si="276"/>
        <v>1519.3253906041291</v>
      </c>
      <c r="L614" s="304">
        <f t="shared" ca="1" si="261"/>
        <v>1569.8312898366232</v>
      </c>
      <c r="M614" s="306">
        <f t="shared" ca="1" si="277"/>
        <v>-1.3668630035547376</v>
      </c>
      <c r="N614" s="304">
        <f t="shared" ca="1" si="278"/>
        <v>-78.315481276261707</v>
      </c>
      <c r="P614" s="310">
        <f t="shared" ca="1" si="279"/>
        <v>23</v>
      </c>
      <c r="Q614" s="304">
        <f t="shared" ca="1" si="280"/>
        <v>0</v>
      </c>
      <c r="R614" s="306">
        <f t="shared" ca="1" si="281"/>
        <v>0</v>
      </c>
      <c r="S614" s="307">
        <f t="shared" ca="1" si="282"/>
        <v>6.8519999999999914</v>
      </c>
      <c r="T614" s="304">
        <f t="shared" ca="1" si="262"/>
        <v>67.218119999999914</v>
      </c>
      <c r="U614" s="311">
        <f t="shared" ca="1" si="263"/>
        <v>0</v>
      </c>
      <c r="V614" s="306">
        <f t="shared" ca="1" si="264"/>
        <v>1.0520230530272392</v>
      </c>
      <c r="W614" s="304">
        <f t="shared" ca="1" si="265"/>
        <v>10.892696727353846</v>
      </c>
      <c r="Y614" s="314" t="str">
        <f t="shared" ca="1" si="283"/>
        <v/>
      </c>
      <c r="Z614" s="315" t="str">
        <f t="shared" ca="1" si="284"/>
        <v/>
      </c>
      <c r="AA614" s="316" t="str">
        <f t="shared" ca="1" si="285"/>
        <v/>
      </c>
      <c r="AC614" s="310">
        <f t="shared" ca="1" si="286"/>
        <v>25.000000000000043</v>
      </c>
      <c r="AD614" s="323">
        <f t="shared" ca="1" si="287"/>
        <v>394.9944759306473</v>
      </c>
      <c r="AE614" s="324" t="e">
        <f t="shared" ca="1" si="266"/>
        <v>#N/A</v>
      </c>
      <c r="AG614" s="306">
        <f t="shared" ca="1" si="288"/>
        <v>8.0513356313403683</v>
      </c>
      <c r="AH614" s="304">
        <f t="shared" ca="1" si="289"/>
        <v>-1.5490862535199104</v>
      </c>
    </row>
    <row r="615" spans="1:34" x14ac:dyDescent="0.2">
      <c r="A615" s="347">
        <f t="shared" ca="1" si="267"/>
        <v>0.1</v>
      </c>
      <c r="B615" s="304">
        <f t="shared" ca="1" si="268"/>
        <v>25.100000000000044</v>
      </c>
      <c r="D615" s="306">
        <f t="shared" ca="1" si="269"/>
        <v>-0.32195247823401713</v>
      </c>
      <c r="E615" s="307">
        <f t="shared" ca="1" si="270"/>
        <v>-8.2532321134727269</v>
      </c>
      <c r="F615" s="304">
        <f t="shared" ca="1" si="271"/>
        <v>8.2595092903330833</v>
      </c>
      <c r="G615" s="306">
        <f t="shared" ca="1" si="272"/>
        <v>12.965628177167149</v>
      </c>
      <c r="H615" s="307">
        <f t="shared" ca="1" si="273"/>
        <v>-63.674953112532094</v>
      </c>
      <c r="I615" s="304">
        <f t="shared" ca="1" si="274"/>
        <v>64.981590992462714</v>
      </c>
      <c r="J615" s="306">
        <f t="shared" ca="1" si="275"/>
        <v>396.29264851075516</v>
      </c>
      <c r="K615" s="307">
        <f t="shared" ca="1" si="276"/>
        <v>1512.9991614534433</v>
      </c>
      <c r="L615" s="304">
        <f t="shared" ca="1" si="261"/>
        <v>1564.0378274909119</v>
      </c>
      <c r="M615" s="306">
        <f t="shared" ca="1" si="277"/>
        <v>-1.3699204091650956</v>
      </c>
      <c r="N615" s="304">
        <f t="shared" ca="1" si="278"/>
        <v>-78.490657713994835</v>
      </c>
      <c r="P615" s="310">
        <f t="shared" ca="1" si="279"/>
        <v>23</v>
      </c>
      <c r="Q615" s="304">
        <f t="shared" ca="1" si="280"/>
        <v>0</v>
      </c>
      <c r="R615" s="306">
        <f t="shared" ca="1" si="281"/>
        <v>0</v>
      </c>
      <c r="S615" s="307">
        <f t="shared" ca="1" si="282"/>
        <v>6.8519999999999914</v>
      </c>
      <c r="T615" s="304">
        <f t="shared" ca="1" si="262"/>
        <v>67.218119999999914</v>
      </c>
      <c r="U615" s="311">
        <f t="shared" ca="1" si="263"/>
        <v>0</v>
      </c>
      <c r="V615" s="306">
        <f t="shared" ca="1" si="264"/>
        <v>1.0526926467694568</v>
      </c>
      <c r="W615" s="304">
        <f t="shared" ca="1" si="265"/>
        <v>11.173740701756969</v>
      </c>
      <c r="Y615" s="314" t="str">
        <f t="shared" ca="1" si="283"/>
        <v/>
      </c>
      <c r="Z615" s="315" t="str">
        <f t="shared" ca="1" si="284"/>
        <v/>
      </c>
      <c r="AA615" s="316" t="str">
        <f t="shared" ca="1" si="285"/>
        <v/>
      </c>
      <c r="AC615" s="310" t="e">
        <f t="shared" ca="1" si="286"/>
        <v>#N/A</v>
      </c>
      <c r="AD615" s="323" t="e">
        <f t="shared" ca="1" si="287"/>
        <v>#N/A</v>
      </c>
      <c r="AE615" s="324" t="e">
        <f t="shared" ca="1" si="266"/>
        <v>#N/A</v>
      </c>
      <c r="AG615" s="306">
        <f t="shared" ca="1" si="288"/>
        <v>8.0170023849473733</v>
      </c>
      <c r="AH615" s="304">
        <f t="shared" ca="1" si="289"/>
        <v>-1.5897105556558464</v>
      </c>
    </row>
    <row r="616" spans="1:34" x14ac:dyDescent="0.2">
      <c r="A616" s="347">
        <f t="shared" ca="1" si="267"/>
        <v>0.1</v>
      </c>
      <c r="B616" s="304">
        <f t="shared" ca="1" si="268"/>
        <v>25.200000000000045</v>
      </c>
      <c r="D616" s="306">
        <f t="shared" ca="1" si="269"/>
        <v>-0.32537520686600929</v>
      </c>
      <c r="E616" s="307">
        <f t="shared" ca="1" si="270"/>
        <v>-8.2120634590108779</v>
      </c>
      <c r="F616" s="304">
        <f t="shared" ca="1" si="271"/>
        <v>8.2185068765600491</v>
      </c>
      <c r="G616" s="306">
        <f t="shared" ca="1" si="272"/>
        <v>12.933090656480548</v>
      </c>
      <c r="H616" s="307">
        <f t="shared" ca="1" si="273"/>
        <v>-64.496159458433183</v>
      </c>
      <c r="I616" s="304">
        <f t="shared" ca="1" si="274"/>
        <v>65.78008375501193</v>
      </c>
      <c r="J616" s="306">
        <f t="shared" ca="1" si="275"/>
        <v>397.58758445243757</v>
      </c>
      <c r="K616" s="307">
        <f t="shared" ca="1" si="276"/>
        <v>1506.590605824895</v>
      </c>
      <c r="L616" s="304">
        <f t="shared" ca="1" si="261"/>
        <v>1558.1691631111651</v>
      </c>
      <c r="M616" s="306">
        <f t="shared" ca="1" si="277"/>
        <v>-1.372896035877889</v>
      </c>
      <c r="N616" s="304">
        <f t="shared" ca="1" si="278"/>
        <v>-78.66114856604429</v>
      </c>
      <c r="P616" s="310">
        <f t="shared" ca="1" si="279"/>
        <v>23</v>
      </c>
      <c r="Q616" s="304">
        <f t="shared" ca="1" si="280"/>
        <v>0</v>
      </c>
      <c r="R616" s="306">
        <f t="shared" ca="1" si="281"/>
        <v>0</v>
      </c>
      <c r="S616" s="307">
        <f t="shared" ca="1" si="282"/>
        <v>6.8519999999999914</v>
      </c>
      <c r="T616" s="304">
        <f t="shared" ca="1" si="262"/>
        <v>67.218119999999914</v>
      </c>
      <c r="U616" s="311">
        <f t="shared" ca="1" si="263"/>
        <v>0</v>
      </c>
      <c r="V616" s="306">
        <f t="shared" ca="1" si="264"/>
        <v>1.0533713559288531</v>
      </c>
      <c r="W616" s="304">
        <f t="shared" ca="1" si="265"/>
        <v>11.457415625990315</v>
      </c>
      <c r="Y616" s="314" t="str">
        <f t="shared" ca="1" si="283"/>
        <v/>
      </c>
      <c r="Z616" s="315" t="str">
        <f t="shared" ca="1" si="284"/>
        <v/>
      </c>
      <c r="AA616" s="316" t="str">
        <f t="shared" ca="1" si="285"/>
        <v/>
      </c>
      <c r="AC616" s="310" t="e">
        <f t="shared" ca="1" si="286"/>
        <v>#N/A</v>
      </c>
      <c r="AD616" s="323" t="e">
        <f t="shared" ca="1" si="287"/>
        <v>#N/A</v>
      </c>
      <c r="AE616" s="324" t="e">
        <f t="shared" ca="1" si="266"/>
        <v>#N/A</v>
      </c>
      <c r="AG616" s="306">
        <f t="shared" ca="1" si="288"/>
        <v>7.9820154267925663</v>
      </c>
      <c r="AH616" s="304">
        <f t="shared" ca="1" si="289"/>
        <v>-1.6307268975126945</v>
      </c>
    </row>
    <row r="617" spans="1:34" x14ac:dyDescent="0.2">
      <c r="A617" s="347">
        <f t="shared" ca="1" si="267"/>
        <v>0.1</v>
      </c>
      <c r="B617" s="304">
        <f t="shared" ca="1" si="268"/>
        <v>25.300000000000047</v>
      </c>
      <c r="D617" s="306">
        <f t="shared" ca="1" si="269"/>
        <v>-0.32875866872844417</v>
      </c>
      <c r="E617" s="307">
        <f t="shared" ca="1" si="270"/>
        <v>-8.1705100988736099</v>
      </c>
      <c r="F617" s="304">
        <f t="shared" ca="1" si="271"/>
        <v>8.1771215924712628</v>
      </c>
      <c r="G617" s="306">
        <f t="shared" ca="1" si="272"/>
        <v>12.900214789607704</v>
      </c>
      <c r="H617" s="307">
        <f t="shared" ca="1" si="273"/>
        <v>-65.313210468320548</v>
      </c>
      <c r="I617" s="304">
        <f t="shared" ca="1" si="274"/>
        <v>66.575002841135131</v>
      </c>
      <c r="J617" s="306">
        <f t="shared" ca="1" si="275"/>
        <v>398.87924972474195</v>
      </c>
      <c r="K617" s="307">
        <f t="shared" ca="1" si="276"/>
        <v>1500.1001373285574</v>
      </c>
      <c r="L617" s="304">
        <f t="shared" ca="1" si="261"/>
        <v>1552.2258462846603</v>
      </c>
      <c r="M617" s="306">
        <f t="shared" ca="1" si="277"/>
        <v>-1.3757931547887867</v>
      </c>
      <c r="N617" s="304">
        <f t="shared" ca="1" si="278"/>
        <v>-78.827141252386269</v>
      </c>
      <c r="P617" s="310">
        <f t="shared" ca="1" si="279"/>
        <v>23</v>
      </c>
      <c r="Q617" s="304">
        <f t="shared" ca="1" si="280"/>
        <v>0</v>
      </c>
      <c r="R617" s="306">
        <f t="shared" ca="1" si="281"/>
        <v>0</v>
      </c>
      <c r="S617" s="307">
        <f t="shared" ca="1" si="282"/>
        <v>6.8519999999999914</v>
      </c>
      <c r="T617" s="304">
        <f t="shared" ca="1" si="262"/>
        <v>67.218119999999914</v>
      </c>
      <c r="U617" s="311">
        <f t="shared" ca="1" si="263"/>
        <v>0</v>
      </c>
      <c r="V617" s="306">
        <f t="shared" ca="1" si="264"/>
        <v>1.0540591526095271</v>
      </c>
      <c r="W617" s="304">
        <f t="shared" ca="1" si="265"/>
        <v>11.74366597031449</v>
      </c>
      <c r="Y617" s="314" t="str">
        <f t="shared" ca="1" si="283"/>
        <v/>
      </c>
      <c r="Z617" s="315" t="str">
        <f t="shared" ca="1" si="284"/>
        <v/>
      </c>
      <c r="AA617" s="316" t="str">
        <f t="shared" ca="1" si="285"/>
        <v/>
      </c>
      <c r="AC617" s="310" t="e">
        <f t="shared" ca="1" si="286"/>
        <v>#N/A</v>
      </c>
      <c r="AD617" s="323" t="e">
        <f t="shared" ca="1" si="287"/>
        <v>#N/A</v>
      </c>
      <c r="AE617" s="324" t="e">
        <f t="shared" ca="1" si="266"/>
        <v>#N/A</v>
      </c>
      <c r="AG617" s="306">
        <f t="shared" ca="1" si="288"/>
        <v>7.946396944000476</v>
      </c>
      <c r="AH617" s="304">
        <f t="shared" ca="1" si="289"/>
        <v>-1.6721272075292366</v>
      </c>
    </row>
    <row r="618" spans="1:34" x14ac:dyDescent="0.2">
      <c r="A618" s="347">
        <f t="shared" ca="1" si="267"/>
        <v>0.1</v>
      </c>
      <c r="B618" s="304">
        <f t="shared" ca="1" si="268"/>
        <v>25.400000000000048</v>
      </c>
      <c r="D618" s="306">
        <f t="shared" ca="1" si="269"/>
        <v>-0.33210245297720759</v>
      </c>
      <c r="E618" s="307">
        <f t="shared" ca="1" si="270"/>
        <v>-8.1285801351292477</v>
      </c>
      <c r="F618" s="304">
        <f t="shared" ca="1" si="271"/>
        <v>8.1353615194711111</v>
      </c>
      <c r="G618" s="306">
        <f t="shared" ca="1" si="272"/>
        <v>12.867004544309983</v>
      </c>
      <c r="H618" s="307">
        <f t="shared" ca="1" si="273"/>
        <v>-66.126068481833471</v>
      </c>
      <c r="I618" s="304">
        <f t="shared" ca="1" si="274"/>
        <v>67.366287850878535</v>
      </c>
      <c r="J618" s="306">
        <f t="shared" ca="1" si="275"/>
        <v>400.16761069143786</v>
      </c>
      <c r="K618" s="307">
        <f t="shared" ca="1" si="276"/>
        <v>1493.5281733810496</v>
      </c>
      <c r="L618" s="304">
        <f t="shared" ca="1" si="261"/>
        <v>1546.2084339859969</v>
      </c>
      <c r="M618" s="306">
        <f t="shared" ca="1" si="277"/>
        <v>-1.378614866981541</v>
      </c>
      <c r="N618" s="304">
        <f t="shared" ca="1" si="278"/>
        <v>-78.988813452031692</v>
      </c>
      <c r="P618" s="310">
        <f t="shared" ca="1" si="279"/>
        <v>23</v>
      </c>
      <c r="Q618" s="304">
        <f t="shared" ca="1" si="280"/>
        <v>0</v>
      </c>
      <c r="R618" s="306">
        <f t="shared" ca="1" si="281"/>
        <v>0</v>
      </c>
      <c r="S618" s="307">
        <f t="shared" ca="1" si="282"/>
        <v>6.8519999999999914</v>
      </c>
      <c r="T618" s="304">
        <f t="shared" ca="1" si="262"/>
        <v>67.218119999999914</v>
      </c>
      <c r="U618" s="311">
        <f t="shared" ca="1" si="263"/>
        <v>0</v>
      </c>
      <c r="V618" s="306">
        <f t="shared" ca="1" si="264"/>
        <v>1.0547560086335532</v>
      </c>
      <c r="W618" s="304">
        <f t="shared" ca="1" si="265"/>
        <v>12.032436001493924</v>
      </c>
      <c r="Y618" s="314" t="str">
        <f t="shared" ca="1" si="283"/>
        <v/>
      </c>
      <c r="Z618" s="315" t="str">
        <f t="shared" ca="1" si="284"/>
        <v/>
      </c>
      <c r="AA618" s="316" t="str">
        <f t="shared" ca="1" si="285"/>
        <v/>
      </c>
      <c r="AC618" s="310" t="e">
        <f t="shared" ca="1" si="286"/>
        <v>#N/A</v>
      </c>
      <c r="AD618" s="323" t="e">
        <f t="shared" ca="1" si="287"/>
        <v>#N/A</v>
      </c>
      <c r="AE618" s="324" t="e">
        <f t="shared" ca="1" si="266"/>
        <v>#N/A</v>
      </c>
      <c r="AG618" s="306">
        <f t="shared" ca="1" si="288"/>
        <v>7.9101682271856939</v>
      </c>
      <c r="AH618" s="304">
        <f t="shared" ca="1" si="289"/>
        <v>-1.7139033815403539</v>
      </c>
    </row>
    <row r="619" spans="1:34" x14ac:dyDescent="0.2">
      <c r="A619" s="347">
        <f t="shared" ca="1" si="267"/>
        <v>0.1</v>
      </c>
      <c r="B619" s="304">
        <f t="shared" ca="1" si="268"/>
        <v>25.50000000000005</v>
      </c>
      <c r="D619" s="306">
        <f t="shared" ca="1" si="269"/>
        <v>-0.33540616717535959</v>
      </c>
      <c r="E619" s="307">
        <f t="shared" ca="1" si="270"/>
        <v>-8.0862817015033173</v>
      </c>
      <c r="F619" s="304">
        <f t="shared" ca="1" si="271"/>
        <v>8.0932347706616454</v>
      </c>
      <c r="G619" s="306">
        <f t="shared" ca="1" si="272"/>
        <v>12.833463927592447</v>
      </c>
      <c r="H619" s="307">
        <f t="shared" ca="1" si="273"/>
        <v>-66.934696651983799</v>
      </c>
      <c r="I619" s="304">
        <f t="shared" ca="1" si="274"/>
        <v>68.153880390436385</v>
      </c>
      <c r="J619" s="306">
        <f t="shared" ca="1" si="275"/>
        <v>401.45263411503299</v>
      </c>
      <c r="K619" s="307">
        <f t="shared" ca="1" si="276"/>
        <v>1486.8751351243586</v>
      </c>
      <c r="L619" s="304">
        <f t="shared" ca="1" si="261"/>
        <v>1540.1174906119918</v>
      </c>
      <c r="M619" s="306">
        <f t="shared" ca="1" si="277"/>
        <v>-1.3813641142637532</v>
      </c>
      <c r="N619" s="304">
        <f t="shared" ca="1" si="278"/>
        <v>-79.146333718140255</v>
      </c>
      <c r="P619" s="310">
        <f t="shared" ca="1" si="279"/>
        <v>23</v>
      </c>
      <c r="Q619" s="304">
        <f t="shared" ca="1" si="280"/>
        <v>0</v>
      </c>
      <c r="R619" s="306">
        <f t="shared" ca="1" si="281"/>
        <v>0</v>
      </c>
      <c r="S619" s="307">
        <f t="shared" ca="1" si="282"/>
        <v>6.8519999999999914</v>
      </c>
      <c r="T619" s="304">
        <f t="shared" ca="1" si="262"/>
        <v>67.218119999999914</v>
      </c>
      <c r="U619" s="311">
        <f t="shared" ca="1" si="263"/>
        <v>0</v>
      </c>
      <c r="V619" s="306">
        <f t="shared" ca="1" si="264"/>
        <v>1.0554618955457251</v>
      </c>
      <c r="W619" s="304">
        <f t="shared" ca="1" si="265"/>
        <v>12.323669802623597</v>
      </c>
      <c r="Y619" s="314" t="str">
        <f t="shared" ca="1" si="283"/>
        <v/>
      </c>
      <c r="Z619" s="315" t="str">
        <f t="shared" ca="1" si="284"/>
        <v/>
      </c>
      <c r="AA619" s="316" t="str">
        <f t="shared" ca="1" si="285"/>
        <v/>
      </c>
      <c r="AC619" s="310" t="e">
        <f t="shared" ca="1" si="286"/>
        <v>#N/A</v>
      </c>
      <c r="AD619" s="323" t="e">
        <f t="shared" ca="1" si="287"/>
        <v>#N/A</v>
      </c>
      <c r="AE619" s="324" t="e">
        <f t="shared" ca="1" si="266"/>
        <v>#N/A</v>
      </c>
      <c r="AG619" s="306">
        <f t="shared" ca="1" si="288"/>
        <v>7.8733497391730367</v>
      </c>
      <c r="AH619" s="304">
        <f t="shared" ca="1" si="289"/>
        <v>-1.7560472856821276</v>
      </c>
    </row>
    <row r="620" spans="1:34" x14ac:dyDescent="0.2">
      <c r="A620" s="347">
        <f t="shared" ca="1" si="267"/>
        <v>0.1</v>
      </c>
      <c r="B620" s="304">
        <f t="shared" ca="1" si="268"/>
        <v>25.600000000000051</v>
      </c>
      <c r="D620" s="306">
        <f t="shared" ca="1" si="269"/>
        <v>-0.33866943685384332</v>
      </c>
      <c r="E620" s="307">
        <f t="shared" ca="1" si="270"/>
        <v>-8.0436229603317368</v>
      </c>
      <c r="F620" s="304">
        <f t="shared" ca="1" si="271"/>
        <v>8.0507494878076287</v>
      </c>
      <c r="G620" s="306">
        <f t="shared" ca="1" si="272"/>
        <v>12.799596983907064</v>
      </c>
      <c r="H620" s="307">
        <f t="shared" ca="1" si="273"/>
        <v>-67.739058948016975</v>
      </c>
      <c r="I620" s="304">
        <f t="shared" ca="1" si="274"/>
        <v>68.937723998645041</v>
      </c>
      <c r="J620" s="306">
        <f t="shared" ca="1" si="275"/>
        <v>402.73428716060795</v>
      </c>
      <c r="K620" s="307">
        <f t="shared" ca="1" si="276"/>
        <v>1480.1414473443585</v>
      </c>
      <c r="L620" s="304">
        <f t="shared" ca="1" si="261"/>
        <v>1533.9535880206465</v>
      </c>
      <c r="M620" s="306">
        <f t="shared" ca="1" si="277"/>
        <v>-1.3840436891119543</v>
      </c>
      <c r="N620" s="304">
        <f t="shared" ca="1" si="278"/>
        <v>-79.299862047831596</v>
      </c>
      <c r="P620" s="310">
        <f t="shared" ca="1" si="279"/>
        <v>23</v>
      </c>
      <c r="Q620" s="304">
        <f t="shared" ca="1" si="280"/>
        <v>0</v>
      </c>
      <c r="R620" s="306">
        <f t="shared" ca="1" si="281"/>
        <v>0</v>
      </c>
      <c r="S620" s="307">
        <f t="shared" ca="1" si="282"/>
        <v>6.8519999999999914</v>
      </c>
      <c r="T620" s="304">
        <f t="shared" ca="1" si="262"/>
        <v>67.218119999999914</v>
      </c>
      <c r="U620" s="311">
        <f t="shared" ca="1" si="263"/>
        <v>0</v>
      </c>
      <c r="V620" s="306">
        <f t="shared" ca="1" si="264"/>
        <v>1.0561767846183334</v>
      </c>
      <c r="W620" s="304">
        <f t="shared" ca="1" si="265"/>
        <v>12.617311292865924</v>
      </c>
      <c r="Y620" s="314" t="str">
        <f t="shared" ca="1" si="283"/>
        <v/>
      </c>
      <c r="Z620" s="315" t="str">
        <f t="shared" ca="1" si="284"/>
        <v/>
      </c>
      <c r="AA620" s="316" t="str">
        <f t="shared" ca="1" si="285"/>
        <v/>
      </c>
      <c r="AC620" s="310" t="e">
        <f t="shared" ca="1" si="286"/>
        <v>#N/A</v>
      </c>
      <c r="AD620" s="323" t="e">
        <f t="shared" ca="1" si="287"/>
        <v>#N/A</v>
      </c>
      <c r="AE620" s="324" t="e">
        <f t="shared" ca="1" si="266"/>
        <v>#N/A</v>
      </c>
      <c r="AG620" s="306">
        <f t="shared" ca="1" si="288"/>
        <v>7.8359611774421447</v>
      </c>
      <c r="AH620" s="304">
        <f t="shared" ca="1" si="289"/>
        <v>-1.7985507592854075</v>
      </c>
    </row>
    <row r="621" spans="1:34" x14ac:dyDescent="0.2">
      <c r="A621" s="347">
        <f t="shared" ca="1" si="267"/>
        <v>0.1</v>
      </c>
      <c r="B621" s="304">
        <f t="shared" ca="1" si="268"/>
        <v>25.700000000000053</v>
      </c>
      <c r="D621" s="306">
        <f t="shared" ca="1" si="269"/>
        <v>-0.34189190510040474</v>
      </c>
      <c r="E621" s="307">
        <f t="shared" ca="1" si="270"/>
        <v>-8.0006120995399712</v>
      </c>
      <c r="F621" s="304">
        <f t="shared" ca="1" si="271"/>
        <v>8.0079138383275925</v>
      </c>
      <c r="G621" s="306">
        <f t="shared" ca="1" si="272"/>
        <v>12.765407793397022</v>
      </c>
      <c r="H621" s="307">
        <f t="shared" ca="1" si="273"/>
        <v>-68.53912015797097</v>
      </c>
      <c r="I621" s="304">
        <f t="shared" ca="1" si="274"/>
        <v>69.7177640788953</v>
      </c>
      <c r="J621" s="306">
        <f t="shared" ca="1" si="275"/>
        <v>404.01253739947316</v>
      </c>
      <c r="K621" s="307">
        <f t="shared" ca="1" si="276"/>
        <v>1473.3275383890591</v>
      </c>
      <c r="L621" s="304">
        <f t="shared" ca="1" si="261"/>
        <v>1527.7173055744067</v>
      </c>
      <c r="M621" s="306">
        <f t="shared" ca="1" si="277"/>
        <v>-1.3866562438919767</v>
      </c>
      <c r="N621" s="304">
        <f t="shared" ca="1" si="278"/>
        <v>-79.449550410473606</v>
      </c>
      <c r="P621" s="310">
        <f t="shared" ca="1" si="279"/>
        <v>23</v>
      </c>
      <c r="Q621" s="304">
        <f t="shared" ca="1" si="280"/>
        <v>0</v>
      </c>
      <c r="R621" s="306">
        <f t="shared" ca="1" si="281"/>
        <v>0</v>
      </c>
      <c r="S621" s="307">
        <f t="shared" ca="1" si="282"/>
        <v>6.8519999999999914</v>
      </c>
      <c r="T621" s="304">
        <f t="shared" ca="1" si="262"/>
        <v>67.218119999999914</v>
      </c>
      <c r="U621" s="311">
        <f t="shared" ca="1" si="263"/>
        <v>0</v>
      </c>
      <c r="V621" s="306">
        <f t="shared" ca="1" si="264"/>
        <v>1.0569006468559652</v>
      </c>
      <c r="W621" s="304">
        <f t="shared" ca="1" si="265"/>
        <v>12.913304247087002</v>
      </c>
      <c r="Y621" s="314" t="str">
        <f t="shared" ca="1" si="283"/>
        <v/>
      </c>
      <c r="Z621" s="315" t="str">
        <f t="shared" ca="1" si="284"/>
        <v/>
      </c>
      <c r="AA621" s="316" t="str">
        <f t="shared" ca="1" si="285"/>
        <v/>
      </c>
      <c r="AC621" s="310" t="e">
        <f t="shared" ca="1" si="286"/>
        <v>#N/A</v>
      </c>
      <c r="AD621" s="323" t="e">
        <f t="shared" ca="1" si="287"/>
        <v>#N/A</v>
      </c>
      <c r="AE621" s="324" t="e">
        <f t="shared" ca="1" si="266"/>
        <v>#N/A</v>
      </c>
      <c r="AG621" s="306">
        <f t="shared" ca="1" si="288"/>
        <v>7.7980215309135579</v>
      </c>
      <c r="AH621" s="304">
        <f t="shared" ca="1" si="289"/>
        <v>-1.8414056177562668</v>
      </c>
    </row>
    <row r="622" spans="1:34" x14ac:dyDescent="0.2">
      <c r="A622" s="347">
        <f t="shared" ca="1" si="267"/>
        <v>0.1</v>
      </c>
      <c r="B622" s="304">
        <f t="shared" ca="1" si="268"/>
        <v>25.800000000000054</v>
      </c>
      <c r="D622" s="306">
        <f t="shared" ca="1" si="269"/>
        <v>-0.34507323217388691</v>
      </c>
      <c r="E622" s="307">
        <f t="shared" ca="1" si="270"/>
        <v>-7.9572573296484066</v>
      </c>
      <c r="F622" s="304">
        <f t="shared" ca="1" si="271"/>
        <v>7.9647360123111568</v>
      </c>
      <c r="G622" s="306">
        <f t="shared" ca="1" si="272"/>
        <v>12.730900470179634</v>
      </c>
      <c r="H622" s="307">
        <f t="shared" ca="1" si="273"/>
        <v>-69.33484589093581</v>
      </c>
      <c r="I622" s="304">
        <f t="shared" ca="1" si="274"/>
        <v>70.49394783597694</v>
      </c>
      <c r="J622" s="306">
        <f t="shared" ca="1" si="275"/>
        <v>405.28735281265199</v>
      </c>
      <c r="K622" s="307">
        <f t="shared" ca="1" si="276"/>
        <v>1466.4338400866138</v>
      </c>
      <c r="L622" s="304">
        <f t="shared" ca="1" si="261"/>
        <v>1521.4092301879398</v>
      </c>
      <c r="M622" s="306">
        <f t="shared" ca="1" si="277"/>
        <v>-1.389204299414486</v>
      </c>
      <c r="N622" s="304">
        <f t="shared" ca="1" si="278"/>
        <v>-79.595543237878388</v>
      </c>
      <c r="P622" s="310">
        <f t="shared" ca="1" si="279"/>
        <v>23</v>
      </c>
      <c r="Q622" s="304">
        <f t="shared" ca="1" si="280"/>
        <v>0</v>
      </c>
      <c r="R622" s="306">
        <f t="shared" ca="1" si="281"/>
        <v>0</v>
      </c>
      <c r="S622" s="307">
        <f t="shared" ca="1" si="282"/>
        <v>6.8519999999999914</v>
      </c>
      <c r="T622" s="304">
        <f t="shared" ca="1" si="262"/>
        <v>67.218119999999914</v>
      </c>
      <c r="U622" s="311">
        <f t="shared" ca="1" si="263"/>
        <v>0</v>
      </c>
      <c r="V622" s="306">
        <f t="shared" ca="1" si="264"/>
        <v>1.0576334530003282</v>
      </c>
      <c r="W622" s="304">
        <f t="shared" ca="1" si="265"/>
        <v>13.211592315381782</v>
      </c>
      <c r="Y622" s="314" t="str">
        <f t="shared" ca="1" si="283"/>
        <v/>
      </c>
      <c r="Z622" s="315" t="str">
        <f t="shared" ca="1" si="284"/>
        <v/>
      </c>
      <c r="AA622" s="316" t="str">
        <f t="shared" ca="1" si="285"/>
        <v/>
      </c>
      <c r="AC622" s="310" t="e">
        <f t="shared" ca="1" si="286"/>
        <v>#N/A</v>
      </c>
      <c r="AD622" s="323" t="e">
        <f t="shared" ca="1" si="287"/>
        <v>#N/A</v>
      </c>
      <c r="AE622" s="324" t="e">
        <f t="shared" ca="1" si="266"/>
        <v>#N/A</v>
      </c>
      <c r="AG622" s="306">
        <f t="shared" ca="1" si="288"/>
        <v>7.7595491316272023</v>
      </c>
      <c r="AH622" s="304">
        <f t="shared" ca="1" si="289"/>
        <v>-1.8846036554417713</v>
      </c>
    </row>
    <row r="623" spans="1:34" x14ac:dyDescent="0.2">
      <c r="A623" s="347">
        <f t="shared" ca="1" si="267"/>
        <v>0.1</v>
      </c>
      <c r="B623" s="304">
        <f t="shared" ca="1" si="268"/>
        <v>25.900000000000055</v>
      </c>
      <c r="D623" s="306">
        <f t="shared" ca="1" si="269"/>
        <v>-0.34821309514135468</v>
      </c>
      <c r="E623" s="307">
        <f t="shared" ca="1" si="270"/>
        <v>-7.9135668808043924</v>
      </c>
      <c r="F623" s="304">
        <f t="shared" ca="1" si="271"/>
        <v>7.9212242195630393</v>
      </c>
      <c r="G623" s="306">
        <f t="shared" ca="1" si="272"/>
        <v>12.696079160665498</v>
      </c>
      <c r="H623" s="307">
        <f t="shared" ca="1" si="273"/>
        <v>-70.126202579016251</v>
      </c>
      <c r="I623" s="304">
        <f t="shared" ca="1" si="274"/>
        <v>71.266224217416706</v>
      </c>
      <c r="J623" s="306">
        <f t="shared" ca="1" si="275"/>
        <v>406.55870179419423</v>
      </c>
      <c r="K623" s="307">
        <f t="shared" ca="1" si="276"/>
        <v>1459.4607876631162</v>
      </c>
      <c r="L623" s="304">
        <f t="shared" ca="1" si="261"/>
        <v>1515.029956380673</v>
      </c>
      <c r="M623" s="306">
        <f t="shared" ca="1" si="277"/>
        <v>-1.3916902528800659</v>
      </c>
      <c r="N623" s="304">
        <f t="shared" ca="1" si="278"/>
        <v>-79.737977879522035</v>
      </c>
      <c r="P623" s="310">
        <f t="shared" ca="1" si="279"/>
        <v>23</v>
      </c>
      <c r="Q623" s="304">
        <f t="shared" ca="1" si="280"/>
        <v>0</v>
      </c>
      <c r="R623" s="306">
        <f t="shared" ca="1" si="281"/>
        <v>0</v>
      </c>
      <c r="S623" s="307">
        <f t="shared" ca="1" si="282"/>
        <v>6.8519999999999914</v>
      </c>
      <c r="T623" s="304">
        <f t="shared" ca="1" si="262"/>
        <v>67.218119999999914</v>
      </c>
      <c r="U623" s="311">
        <f t="shared" ca="1" si="263"/>
        <v>0</v>
      </c>
      <c r="V623" s="306">
        <f t="shared" ca="1" si="264"/>
        <v>1.0583751735351028</v>
      </c>
      <c r="W623" s="304">
        <f t="shared" ca="1" si="265"/>
        <v>13.512119042478034</v>
      </c>
      <c r="Y623" s="314" t="str">
        <f t="shared" ca="1" si="283"/>
        <v/>
      </c>
      <c r="Z623" s="315" t="str">
        <f t="shared" ca="1" si="284"/>
        <v/>
      </c>
      <c r="AA623" s="316" t="str">
        <f t="shared" ca="1" si="285"/>
        <v/>
      </c>
      <c r="AC623" s="310" t="e">
        <f t="shared" ca="1" si="286"/>
        <v>#N/A</v>
      </c>
      <c r="AD623" s="323" t="e">
        <f t="shared" ca="1" si="287"/>
        <v>#N/A</v>
      </c>
      <c r="AE623" s="324" t="e">
        <f t="shared" ca="1" si="266"/>
        <v>#N/A</v>
      </c>
      <c r="AG623" s="306">
        <f t="shared" ca="1" si="288"/>
        <v>7.7205617018056412</v>
      </c>
      <c r="AH623" s="304">
        <f t="shared" ca="1" si="289"/>
        <v>-1.9281366484795386</v>
      </c>
    </row>
    <row r="624" spans="1:34" x14ac:dyDescent="0.2">
      <c r="A624" s="347">
        <f t="shared" ca="1" si="267"/>
        <v>0.1</v>
      </c>
      <c r="B624" s="304">
        <f t="shared" ca="1" si="268"/>
        <v>26.000000000000057</v>
      </c>
      <c r="D624" s="306">
        <f t="shared" ca="1" si="269"/>
        <v>-0.35131118753574725</v>
      </c>
      <c r="E624" s="307">
        <f t="shared" ca="1" si="270"/>
        <v>-7.8695489998413644</v>
      </c>
      <c r="F624" s="304">
        <f t="shared" ca="1" si="271"/>
        <v>7.8773866866742042</v>
      </c>
      <c r="G624" s="306">
        <f t="shared" ca="1" si="272"/>
        <v>12.660948041911924</v>
      </c>
      <c r="H624" s="307">
        <f t="shared" ca="1" si="273"/>
        <v>-70.91315747900039</v>
      </c>
      <c r="I624" s="304">
        <f t="shared" ca="1" si="274"/>
        <v>72.034543858911903</v>
      </c>
      <c r="J624" s="306">
        <f t="shared" ca="1" si="275"/>
        <v>407.82655315432311</v>
      </c>
      <c r="K624" s="307">
        <f t="shared" ca="1" si="276"/>
        <v>1452.4088196602154</v>
      </c>
      <c r="L624" s="304">
        <f t="shared" ca="1" si="261"/>
        <v>1508.5800863343372</v>
      </c>
      <c r="M624" s="306">
        <f t="shared" ca="1" si="277"/>
        <v>-1.3941163852633041</v>
      </c>
      <c r="N624" s="304">
        <f t="shared" ca="1" si="278"/>
        <v>-79.876985025621593</v>
      </c>
      <c r="P624" s="310">
        <f t="shared" ca="1" si="279"/>
        <v>23</v>
      </c>
      <c r="Q624" s="304">
        <f t="shared" ca="1" si="280"/>
        <v>0</v>
      </c>
      <c r="R624" s="306">
        <f t="shared" ca="1" si="281"/>
        <v>0</v>
      </c>
      <c r="S624" s="307">
        <f t="shared" ca="1" si="282"/>
        <v>6.8519999999999914</v>
      </c>
      <c r="T624" s="304">
        <f t="shared" ca="1" si="262"/>
        <v>67.218119999999914</v>
      </c>
      <c r="U624" s="311">
        <f t="shared" ca="1" si="263"/>
        <v>0</v>
      </c>
      <c r="V624" s="306">
        <f t="shared" ca="1" si="264"/>
        <v>1.0591257786908104</v>
      </c>
      <c r="W624" s="304">
        <f t="shared" ca="1" si="265"/>
        <v>13.814827887008825</v>
      </c>
      <c r="Y624" s="314" t="str">
        <f t="shared" ca="1" si="283"/>
        <v/>
      </c>
      <c r="Z624" s="315" t="str">
        <f t="shared" ca="1" si="284"/>
        <v/>
      </c>
      <c r="AA624" s="316" t="str">
        <f t="shared" ca="1" si="285"/>
        <v/>
      </c>
      <c r="AC624" s="310">
        <f t="shared" ca="1" si="286"/>
        <v>26.000000000000057</v>
      </c>
      <c r="AD624" s="323">
        <f t="shared" ca="1" si="287"/>
        <v>407.82655315432311</v>
      </c>
      <c r="AE624" s="324" t="e">
        <f t="shared" ca="1" si="266"/>
        <v>#N/A</v>
      </c>
      <c r="AG624" s="306">
        <f t="shared" ca="1" si="288"/>
        <v>7.6810763967429327</v>
      </c>
      <c r="AH624" s="304">
        <f t="shared" ca="1" si="289"/>
        <v>-1.9719963576296047</v>
      </c>
    </row>
    <row r="625" spans="1:34" x14ac:dyDescent="0.2">
      <c r="A625" s="347">
        <f t="shared" ca="1" si="267"/>
        <v>0.1</v>
      </c>
      <c r="B625" s="304">
        <f t="shared" ca="1" si="268"/>
        <v>26.100000000000058</v>
      </c>
      <c r="D625" s="306">
        <f t="shared" ca="1" si="269"/>
        <v>-0.35436721903198215</v>
      </c>
      <c r="E625" s="307">
        <f t="shared" ca="1" si="270"/>
        <v>-7.8252119473657036</v>
      </c>
      <c r="F625" s="304">
        <f t="shared" ca="1" si="271"/>
        <v>7.8332316541207572</v>
      </c>
      <c r="G625" s="306">
        <f t="shared" ca="1" si="272"/>
        <v>12.625511320008727</v>
      </c>
      <c r="H625" s="307">
        <f t="shared" ca="1" si="273"/>
        <v>-71.695678673736964</v>
      </c>
      <c r="I625" s="304">
        <f t="shared" ca="1" si="274"/>
        <v>72.798859033500037</v>
      </c>
      <c r="J625" s="306">
        <f t="shared" ca="1" si="275"/>
        <v>409.09087612241916</v>
      </c>
      <c r="K625" s="307">
        <f t="shared" ca="1" si="276"/>
        <v>1445.2783778525786</v>
      </c>
      <c r="L625" s="304">
        <f t="shared" ca="1" si="261"/>
        <v>1502.0602299557729</v>
      </c>
      <c r="M625" s="306">
        <f t="shared" ca="1" si="277"/>
        <v>-1.3964848681808755</v>
      </c>
      <c r="N625" s="304">
        <f t="shared" ca="1" si="278"/>
        <v>-80.012689100647279</v>
      </c>
      <c r="P625" s="310">
        <f t="shared" ca="1" si="279"/>
        <v>23</v>
      </c>
      <c r="Q625" s="304">
        <f t="shared" ca="1" si="280"/>
        <v>0</v>
      </c>
      <c r="R625" s="306">
        <f t="shared" ca="1" si="281"/>
        <v>0</v>
      </c>
      <c r="S625" s="307">
        <f t="shared" ca="1" si="282"/>
        <v>6.8519999999999914</v>
      </c>
      <c r="T625" s="304">
        <f t="shared" ca="1" si="262"/>
        <v>67.218119999999914</v>
      </c>
      <c r="U625" s="311">
        <f t="shared" ca="1" si="263"/>
        <v>0</v>
      </c>
      <c r="V625" s="306">
        <f t="shared" ca="1" si="264"/>
        <v>1.0598852384497057</v>
      </c>
      <c r="W625" s="304">
        <f t="shared" ca="1" si="265"/>
        <v>14.11966224064394</v>
      </c>
      <c r="Y625" s="314" t="str">
        <f t="shared" ca="1" si="283"/>
        <v/>
      </c>
      <c r="Z625" s="315" t="str">
        <f t="shared" ca="1" si="284"/>
        <v/>
      </c>
      <c r="AA625" s="316" t="str">
        <f t="shared" ca="1" si="285"/>
        <v/>
      </c>
      <c r="AC625" s="310" t="e">
        <f t="shared" ca="1" si="286"/>
        <v>#N/A</v>
      </c>
      <c r="AD625" s="323" t="e">
        <f t="shared" ca="1" si="287"/>
        <v>#N/A</v>
      </c>
      <c r="AE625" s="324" t="e">
        <f t="shared" ca="1" si="266"/>
        <v>#N/A</v>
      </c>
      <c r="AG625" s="306">
        <f t="shared" ca="1" si="288"/>
        <v>7.64110984391389</v>
      </c>
      <c r="AH625" s="304">
        <f t="shared" ca="1" si="289"/>
        <v>-2.0161745310871049</v>
      </c>
    </row>
    <row r="626" spans="1:34" x14ac:dyDescent="0.2">
      <c r="A626" s="347">
        <f t="shared" ca="1" si="267"/>
        <v>0.1</v>
      </c>
      <c r="B626" s="304">
        <f t="shared" ca="1" si="268"/>
        <v>26.20000000000006</v>
      </c>
      <c r="D626" s="306">
        <f t="shared" ca="1" si="269"/>
        <v>-0.35738091513964998</v>
      </c>
      <c r="E626" s="307">
        <f t="shared" ca="1" si="270"/>
        <v>-7.7805639948718781</v>
      </c>
      <c r="F626" s="304">
        <f t="shared" ca="1" si="271"/>
        <v>7.7887673733911642</v>
      </c>
      <c r="G626" s="306">
        <f t="shared" ca="1" si="272"/>
        <v>12.589773228494762</v>
      </c>
      <c r="H626" s="307">
        <f t="shared" ca="1" si="273"/>
        <v>-72.473735073224148</v>
      </c>
      <c r="I626" s="304">
        <f t="shared" ca="1" si="274"/>
        <v>73.559123604137667</v>
      </c>
      <c r="J626" s="306">
        <f t="shared" ca="1" si="275"/>
        <v>410.35164034984433</v>
      </c>
      <c r="K626" s="307">
        <f t="shared" ca="1" si="276"/>
        <v>1438.0699071652305</v>
      </c>
      <c r="L626" s="304">
        <f t="shared" ca="1" si="261"/>
        <v>1495.4710049452722</v>
      </c>
      <c r="M626" s="306">
        <f t="shared" ca="1" si="277"/>
        <v>-1.3987977702846153</v>
      </c>
      <c r="N626" s="304">
        <f t="shared" ca="1" si="278"/>
        <v>-80.145208629618494</v>
      </c>
      <c r="P626" s="310">
        <f t="shared" ca="1" si="279"/>
        <v>23</v>
      </c>
      <c r="Q626" s="304">
        <f t="shared" ca="1" si="280"/>
        <v>0</v>
      </c>
      <c r="R626" s="306">
        <f t="shared" ca="1" si="281"/>
        <v>0</v>
      </c>
      <c r="S626" s="307">
        <f t="shared" ca="1" si="282"/>
        <v>6.8519999999999914</v>
      </c>
      <c r="T626" s="304">
        <f t="shared" ca="1" si="262"/>
        <v>67.218119999999914</v>
      </c>
      <c r="U626" s="311">
        <f t="shared" ca="1" si="263"/>
        <v>0</v>
      </c>
      <c r="V626" s="306">
        <f t="shared" ca="1" si="264"/>
        <v>1.060653522550683</v>
      </c>
      <c r="W626" s="304">
        <f t="shared" ca="1" si="265"/>
        <v>14.426565447070388</v>
      </c>
      <c r="Y626" s="314" t="str">
        <f t="shared" ca="1" si="283"/>
        <v/>
      </c>
      <c r="Z626" s="315" t="str">
        <f t="shared" ca="1" si="284"/>
        <v/>
      </c>
      <c r="AA626" s="316" t="str">
        <f t="shared" ca="1" si="285"/>
        <v/>
      </c>
      <c r="AC626" s="310" t="e">
        <f t="shared" ca="1" si="286"/>
        <v>#N/A</v>
      </c>
      <c r="AD626" s="323" t="e">
        <f t="shared" ca="1" si="287"/>
        <v>#N/A</v>
      </c>
      <c r="AE626" s="324" t="e">
        <f t="shared" ca="1" si="266"/>
        <v>#N/A</v>
      </c>
      <c r="AG626" s="306">
        <f t="shared" ca="1" si="288"/>
        <v>7.6006781786580966</v>
      </c>
      <c r="AH626" s="304">
        <f t="shared" ca="1" si="289"/>
        <v>-2.0606629072743665</v>
      </c>
    </row>
    <row r="627" spans="1:34" x14ac:dyDescent="0.2">
      <c r="A627" s="347">
        <f t="shared" ca="1" si="267"/>
        <v>0.1</v>
      </c>
      <c r="B627" s="304">
        <f t="shared" ca="1" si="268"/>
        <v>26.300000000000061</v>
      </c>
      <c r="D627" s="306">
        <f t="shared" ca="1" si="269"/>
        <v>-0.36035201691059576</v>
      </c>
      <c r="E627" s="307">
        <f t="shared" ca="1" si="270"/>
        <v>-7.7356134218866348</v>
      </c>
      <c r="F627" s="304">
        <f t="shared" ca="1" si="271"/>
        <v>7.7440021041425462</v>
      </c>
      <c r="G627" s="306">
        <f t="shared" ca="1" si="272"/>
        <v>12.553738026803702</v>
      </c>
      <c r="H627" s="307">
        <f t="shared" ca="1" si="273"/>
        <v>-73.247296415412805</v>
      </c>
      <c r="I627" s="304">
        <f t="shared" ca="1" si="274"/>
        <v>74.315292979392623</v>
      </c>
      <c r="J627" s="306">
        <f t="shared" ca="1" si="275"/>
        <v>411.60881591260926</v>
      </c>
      <c r="K627" s="307">
        <f t="shared" ca="1" si="276"/>
        <v>1430.7838555907986</v>
      </c>
      <c r="L627" s="304">
        <f t="shared" ca="1" si="261"/>
        <v>1488.8130368707318</v>
      </c>
      <c r="M627" s="306">
        <f t="shared" ca="1" si="277"/>
        <v>-1.401057063216941</v>
      </c>
      <c r="N627" s="304">
        <f t="shared" ca="1" si="278"/>
        <v>-80.2746565793245</v>
      </c>
      <c r="P627" s="310">
        <f t="shared" ca="1" si="279"/>
        <v>23</v>
      </c>
      <c r="Q627" s="304">
        <f t="shared" ca="1" si="280"/>
        <v>0</v>
      </c>
      <c r="R627" s="306">
        <f t="shared" ca="1" si="281"/>
        <v>0</v>
      </c>
      <c r="S627" s="307">
        <f t="shared" ca="1" si="282"/>
        <v>6.8519999999999914</v>
      </c>
      <c r="T627" s="304">
        <f t="shared" ca="1" si="262"/>
        <v>67.218119999999914</v>
      </c>
      <c r="U627" s="311">
        <f t="shared" ca="1" si="263"/>
        <v>0</v>
      </c>
      <c r="V627" s="306">
        <f t="shared" ca="1" si="264"/>
        <v>1.061430600494206</v>
      </c>
      <c r="W627" s="304">
        <f t="shared" ca="1" si="265"/>
        <v>14.735480820812906</v>
      </c>
      <c r="Y627" s="314" t="str">
        <f t="shared" ca="1" si="283"/>
        <v/>
      </c>
      <c r="Z627" s="315" t="str">
        <f t="shared" ca="1" si="284"/>
        <v/>
      </c>
      <c r="AA627" s="316" t="str">
        <f t="shared" ca="1" si="285"/>
        <v/>
      </c>
      <c r="AC627" s="310" t="e">
        <f t="shared" ca="1" si="286"/>
        <v>#N/A</v>
      </c>
      <c r="AD627" s="323" t="e">
        <f t="shared" ca="1" si="287"/>
        <v>#N/A</v>
      </c>
      <c r="AE627" s="324" t="e">
        <f t="shared" ca="1" si="266"/>
        <v>#N/A</v>
      </c>
      <c r="AG627" s="306">
        <f t="shared" ca="1" si="288"/>
        <v>7.5597970767568228</v>
      </c>
      <c r="AH627" s="304">
        <f t="shared" ca="1" si="289"/>
        <v>-2.1054532176109757</v>
      </c>
    </row>
    <row r="628" spans="1:34" x14ac:dyDescent="0.2">
      <c r="A628" s="347">
        <f t="shared" ca="1" si="267"/>
        <v>0.1</v>
      </c>
      <c r="B628" s="304">
        <f t="shared" ca="1" si="268"/>
        <v>26.400000000000063</v>
      </c>
      <c r="D628" s="306">
        <f t="shared" ca="1" si="269"/>
        <v>-0.36328028065988122</v>
      </c>
      <c r="E628" s="307">
        <f t="shared" ca="1" si="270"/>
        <v>-7.6903685131428823</v>
      </c>
      <c r="F628" s="304">
        <f t="shared" ca="1" si="271"/>
        <v>7.6989441113866901</v>
      </c>
      <c r="G628" s="306">
        <f t="shared" ca="1" si="272"/>
        <v>12.517409998737714</v>
      </c>
      <c r="H628" s="307">
        <f t="shared" ca="1" si="273"/>
        <v>-74.016333266727088</v>
      </c>
      <c r="I628" s="304">
        <f t="shared" ca="1" si="274"/>
        <v>75.067324071980281</v>
      </c>
      <c r="J628" s="306">
        <f t="shared" ca="1" si="275"/>
        <v>412.86237331388634</v>
      </c>
      <c r="K628" s="307">
        <f t="shared" ca="1" si="276"/>
        <v>1423.4206741066916</v>
      </c>
      <c r="L628" s="304">
        <f t="shared" ca="1" si="261"/>
        <v>1482.0869592479123</v>
      </c>
      <c r="M628" s="306">
        <f t="shared" ca="1" si="277"/>
        <v>-1.4032646271627229</v>
      </c>
      <c r="N628" s="304">
        <f t="shared" ca="1" si="278"/>
        <v>-80.40114067642304</v>
      </c>
      <c r="P628" s="310">
        <f t="shared" ca="1" si="279"/>
        <v>23</v>
      </c>
      <c r="Q628" s="304">
        <f t="shared" ca="1" si="280"/>
        <v>0</v>
      </c>
      <c r="R628" s="306">
        <f t="shared" ca="1" si="281"/>
        <v>0</v>
      </c>
      <c r="S628" s="307">
        <f t="shared" ca="1" si="282"/>
        <v>6.8519999999999914</v>
      </c>
      <c r="T628" s="304">
        <f t="shared" ca="1" si="262"/>
        <v>67.218119999999914</v>
      </c>
      <c r="U628" s="311">
        <f t="shared" ca="1" si="263"/>
        <v>0</v>
      </c>
      <c r="V628" s="306">
        <f t="shared" ca="1" si="264"/>
        <v>1.0622164415472457</v>
      </c>
      <c r="W628" s="304">
        <f t="shared" ca="1" si="265"/>
        <v>15.046351665885069</v>
      </c>
      <c r="Y628" s="314" t="str">
        <f t="shared" ca="1" si="283"/>
        <v/>
      </c>
      <c r="Z628" s="315" t="str">
        <f t="shared" ca="1" si="284"/>
        <v/>
      </c>
      <c r="AA628" s="316" t="str">
        <f t="shared" ca="1" si="285"/>
        <v/>
      </c>
      <c r="AC628" s="310" t="e">
        <f t="shared" ca="1" si="286"/>
        <v>#N/A</v>
      </c>
      <c r="AD628" s="323" t="e">
        <f t="shared" ca="1" si="287"/>
        <v>#N/A</v>
      </c>
      <c r="AE628" s="324" t="e">
        <f t="shared" ca="1" si="266"/>
        <v>#N/A</v>
      </c>
      <c r="AG628" s="306">
        <f t="shared" ca="1" si="288"/>
        <v>7.5184817841889195</v>
      </c>
      <c r="AH628" s="304">
        <f t="shared" ca="1" si="289"/>
        <v>-2.150537189260497</v>
      </c>
    </row>
    <row r="629" spans="1:34" x14ac:dyDescent="0.2">
      <c r="A629" s="347">
        <f t="shared" ca="1" si="267"/>
        <v>0.1</v>
      </c>
      <c r="B629" s="304">
        <f t="shared" ca="1" si="268"/>
        <v>26.500000000000064</v>
      </c>
      <c r="D629" s="306">
        <f t="shared" ca="1" si="269"/>
        <v>-0.36616547769873031</v>
      </c>
      <c r="E629" s="307">
        <f t="shared" ca="1" si="270"/>
        <v>-7.644837555784096</v>
      </c>
      <c r="F629" s="304">
        <f t="shared" ca="1" si="271"/>
        <v>7.6536016627066044</v>
      </c>
      <c r="G629" s="306">
        <f t="shared" ca="1" si="272"/>
        <v>12.480793450967841</v>
      </c>
      <c r="H629" s="307">
        <f t="shared" ca="1" si="273"/>
        <v>-74.780817022305499</v>
      </c>
      <c r="I629" s="304">
        <f t="shared" ca="1" si="274"/>
        <v>75.815175259899377</v>
      </c>
      <c r="J629" s="306">
        <f t="shared" ca="1" si="275"/>
        <v>414.11228348637161</v>
      </c>
      <c r="K629" s="307">
        <f t="shared" ca="1" si="276"/>
        <v>1415.98081659224</v>
      </c>
      <c r="L629" s="304">
        <f t="shared" ca="1" si="261"/>
        <v>1475.2934136271076</v>
      </c>
      <c r="M629" s="306">
        <f t="shared" ca="1" si="277"/>
        <v>-1.4054222560287337</v>
      </c>
      <c r="N629" s="304">
        <f t="shared" ca="1" si="278"/>
        <v>-80.524763704201064</v>
      </c>
      <c r="P629" s="310">
        <f t="shared" ca="1" si="279"/>
        <v>23</v>
      </c>
      <c r="Q629" s="304">
        <f t="shared" ca="1" si="280"/>
        <v>0</v>
      </c>
      <c r="R629" s="306">
        <f t="shared" ca="1" si="281"/>
        <v>0</v>
      </c>
      <c r="S629" s="307">
        <f t="shared" ca="1" si="282"/>
        <v>6.8519999999999914</v>
      </c>
      <c r="T629" s="304">
        <f t="shared" ca="1" si="262"/>
        <v>67.218119999999914</v>
      </c>
      <c r="U629" s="311">
        <f t="shared" ca="1" si="263"/>
        <v>0</v>
      </c>
      <c r="V629" s="306">
        <f t="shared" ca="1" si="264"/>
        <v>1.0630110147482377</v>
      </c>
      <c r="W629" s="304">
        <f t="shared" ca="1" si="265"/>
        <v>15.359121294262289</v>
      </c>
      <c r="Y629" s="314" t="str">
        <f t="shared" ca="1" si="283"/>
        <v/>
      </c>
      <c r="Z629" s="315" t="str">
        <f t="shared" ca="1" si="284"/>
        <v/>
      </c>
      <c r="AA629" s="316" t="str">
        <f t="shared" ca="1" si="285"/>
        <v/>
      </c>
      <c r="AC629" s="310" t="e">
        <f t="shared" ca="1" si="286"/>
        <v>#N/A</v>
      </c>
      <c r="AD629" s="323" t="e">
        <f t="shared" ca="1" si="287"/>
        <v>#N/A</v>
      </c>
      <c r="AE629" s="324" t="e">
        <f t="shared" ca="1" si="266"/>
        <v>#N/A</v>
      </c>
      <c r="AG629" s="306">
        <f t="shared" ca="1" si="288"/>
        <v>7.4767471443232747</v>
      </c>
      <c r="AH629" s="304">
        <f t="shared" ca="1" si="289"/>
        <v>-2.1959065478524646</v>
      </c>
    </row>
    <row r="630" spans="1:34" x14ac:dyDescent="0.2">
      <c r="A630" s="347">
        <f t="shared" ca="1" si="267"/>
        <v>0.1</v>
      </c>
      <c r="B630" s="304">
        <f t="shared" ca="1" si="268"/>
        <v>26.600000000000065</v>
      </c>
      <c r="D630" s="306">
        <f t="shared" ca="1" si="269"/>
        <v>-0.36900739407822764</v>
      </c>
      <c r="E630" s="307">
        <f t="shared" ca="1" si="270"/>
        <v>-7.5990288365999792</v>
      </c>
      <c r="F630" s="304">
        <f t="shared" ca="1" si="271"/>
        <v>7.6079830255043577</v>
      </c>
      <c r="G630" s="306">
        <f t="shared" ca="1" si="272"/>
        <v>12.443892711560018</v>
      </c>
      <c r="H630" s="307">
        <f t="shared" ca="1" si="273"/>
        <v>-75.540719905965503</v>
      </c>
      <c r="I630" s="304">
        <f t="shared" ca="1" si="274"/>
        <v>76.558806349944803</v>
      </c>
      <c r="J630" s="306">
        <f t="shared" ca="1" si="275"/>
        <v>415.35851779449803</v>
      </c>
      <c r="K630" s="307">
        <f t="shared" ca="1" si="276"/>
        <v>1408.4647397458264</v>
      </c>
      <c r="L630" s="304">
        <f t="shared" ca="1" si="261"/>
        <v>1468.4330496865427</v>
      </c>
      <c r="M630" s="306">
        <f t="shared" ca="1" si="277"/>
        <v>-1.4075316622791378</v>
      </c>
      <c r="N630" s="304">
        <f t="shared" ca="1" si="278"/>
        <v>-80.645623779627726</v>
      </c>
      <c r="P630" s="310">
        <f t="shared" ca="1" si="279"/>
        <v>23</v>
      </c>
      <c r="Q630" s="304">
        <f t="shared" ca="1" si="280"/>
        <v>0</v>
      </c>
      <c r="R630" s="306">
        <f t="shared" ca="1" si="281"/>
        <v>0</v>
      </c>
      <c r="S630" s="307">
        <f t="shared" ca="1" si="282"/>
        <v>6.8519999999999914</v>
      </c>
      <c r="T630" s="304">
        <f t="shared" ca="1" si="262"/>
        <v>67.218119999999914</v>
      </c>
      <c r="U630" s="311">
        <f t="shared" ca="1" si="263"/>
        <v>0</v>
      </c>
      <c r="V630" s="306">
        <f t="shared" ca="1" si="264"/>
        <v>1.0638142889120485</v>
      </c>
      <c r="W630" s="304">
        <f t="shared" ca="1" si="265"/>
        <v>15.673733044167948</v>
      </c>
      <c r="Y630" s="314" t="str">
        <f t="shared" ca="1" si="283"/>
        <v/>
      </c>
      <c r="Z630" s="315" t="str">
        <f t="shared" ca="1" si="284"/>
        <v/>
      </c>
      <c r="AA630" s="316" t="str">
        <f t="shared" ca="1" si="285"/>
        <v/>
      </c>
      <c r="AC630" s="310" t="e">
        <f t="shared" ca="1" si="286"/>
        <v>#N/A</v>
      </c>
      <c r="AD630" s="323" t="e">
        <f t="shared" ca="1" si="287"/>
        <v>#N/A</v>
      </c>
      <c r="AE630" s="324" t="e">
        <f t="shared" ca="1" si="266"/>
        <v>#N/A</v>
      </c>
      <c r="AG630" s="306">
        <f t="shared" ca="1" si="288"/>
        <v>7.4346076227798186</v>
      </c>
      <c r="AH630" s="304">
        <f t="shared" ca="1" si="289"/>
        <v>-2.2415530201783871</v>
      </c>
    </row>
    <row r="631" spans="1:34" x14ac:dyDescent="0.2">
      <c r="A631" s="347">
        <f t="shared" ca="1" si="267"/>
        <v>0.1</v>
      </c>
      <c r="B631" s="304">
        <f t="shared" ca="1" si="268"/>
        <v>26.700000000000067</v>
      </c>
      <c r="D631" s="306">
        <f t="shared" ca="1" si="269"/>
        <v>-0.3718058303426367</v>
      </c>
      <c r="E631" s="307">
        <f t="shared" ca="1" si="270"/>
        <v>-7.5529506392942043</v>
      </c>
      <c r="F631" s="304">
        <f t="shared" ca="1" si="271"/>
        <v>7.5620964642810202</v>
      </c>
      <c r="G631" s="306">
        <f t="shared" ca="1" si="272"/>
        <v>12.406712128525754</v>
      </c>
      <c r="H631" s="307">
        <f t="shared" ca="1" si="273"/>
        <v>-76.296014969894927</v>
      </c>
      <c r="I631" s="304">
        <f t="shared" ca="1" si="274"/>
        <v>77.298178543394798</v>
      </c>
      <c r="J631" s="306">
        <f t="shared" ca="1" si="275"/>
        <v>416.60104803650233</v>
      </c>
      <c r="K631" s="307">
        <f t="shared" ca="1" si="276"/>
        <v>1400.8729030020334</v>
      </c>
      <c r="L631" s="304">
        <f t="shared" ca="1" si="261"/>
        <v>1461.5065253328351</v>
      </c>
      <c r="M631" s="306">
        <f t="shared" ca="1" si="277"/>
        <v>-1.4095944814530534</v>
      </c>
      <c r="N631" s="304">
        <f t="shared" ca="1" si="278"/>
        <v>-80.763814612191766</v>
      </c>
      <c r="P631" s="310">
        <f t="shared" ca="1" si="279"/>
        <v>23</v>
      </c>
      <c r="Q631" s="304">
        <f t="shared" ca="1" si="280"/>
        <v>0</v>
      </c>
      <c r="R631" s="306">
        <f t="shared" ca="1" si="281"/>
        <v>0</v>
      </c>
      <c r="S631" s="307">
        <f t="shared" ca="1" si="282"/>
        <v>6.8519999999999914</v>
      </c>
      <c r="T631" s="304">
        <f t="shared" ca="1" si="262"/>
        <v>67.218119999999914</v>
      </c>
      <c r="U631" s="311">
        <f t="shared" ca="1" si="263"/>
        <v>0</v>
      </c>
      <c r="V631" s="306">
        <f t="shared" ca="1" si="264"/>
        <v>1.0646262326349534</v>
      </c>
      <c r="W631" s="304">
        <f t="shared" ca="1" si="265"/>
        <v>15.990130298164331</v>
      </c>
      <c r="Y631" s="314" t="str">
        <f t="shared" ca="1" si="283"/>
        <v/>
      </c>
      <c r="Z631" s="315" t="str">
        <f t="shared" ca="1" si="284"/>
        <v/>
      </c>
      <c r="AA631" s="316" t="str">
        <f t="shared" ca="1" si="285"/>
        <v/>
      </c>
      <c r="AC631" s="310" t="e">
        <f t="shared" ca="1" si="286"/>
        <v>#N/A</v>
      </c>
      <c r="AD631" s="323" t="e">
        <f t="shared" ca="1" si="287"/>
        <v>#N/A</v>
      </c>
      <c r="AE631" s="324" t="e">
        <f t="shared" ca="1" si="266"/>
        <v>#N/A</v>
      </c>
      <c r="AG631" s="306">
        <f t="shared" ca="1" si="288"/>
        <v>7.3920773301685383</v>
      </c>
      <c r="AH631" s="304">
        <f t="shared" ca="1" si="289"/>
        <v>-2.2874683368604738</v>
      </c>
    </row>
    <row r="632" spans="1:34" x14ac:dyDescent="0.2">
      <c r="A632" s="347">
        <f t="shared" ca="1" si="267"/>
        <v>0.1</v>
      </c>
      <c r="B632" s="304">
        <f t="shared" ca="1" si="268"/>
        <v>26.800000000000068</v>
      </c>
      <c r="D632" s="306">
        <f t="shared" ca="1" si="269"/>
        <v>-0.37456060129132257</v>
      </c>
      <c r="E632" s="307">
        <f t="shared" ca="1" si="270"/>
        <v>-7.5066112417850288</v>
      </c>
      <c r="F632" s="304">
        <f t="shared" ca="1" si="271"/>
        <v>7.5159502379494967</v>
      </c>
      <c r="G632" s="306">
        <f t="shared" ca="1" si="272"/>
        <v>12.369256068396622</v>
      </c>
      <c r="H632" s="307">
        <f t="shared" ca="1" si="273"/>
        <v>-77.046676094073433</v>
      </c>
      <c r="I632" s="304">
        <f t="shared" ca="1" si="274"/>
        <v>78.033254403687621</v>
      </c>
      <c r="J632" s="306">
        <f t="shared" ca="1" si="275"/>
        <v>417.83984644634847</v>
      </c>
      <c r="K632" s="307">
        <f t="shared" ca="1" si="276"/>
        <v>1393.205768448835</v>
      </c>
      <c r="L632" s="304">
        <f t="shared" ca="1" si="261"/>
        <v>1454.5145068088584</v>
      </c>
      <c r="M632" s="306">
        <f t="shared" ca="1" si="277"/>
        <v>-1.4116122763880214</v>
      </c>
      <c r="N632" s="304">
        <f t="shared" ca="1" si="278"/>
        <v>-80.879425745888298</v>
      </c>
      <c r="P632" s="310">
        <f t="shared" ca="1" si="279"/>
        <v>23</v>
      </c>
      <c r="Q632" s="304">
        <f t="shared" ca="1" si="280"/>
        <v>0</v>
      </c>
      <c r="R632" s="306">
        <f t="shared" ca="1" si="281"/>
        <v>0</v>
      </c>
      <c r="S632" s="307">
        <f t="shared" ca="1" si="282"/>
        <v>6.8519999999999914</v>
      </c>
      <c r="T632" s="304">
        <f t="shared" ca="1" si="262"/>
        <v>67.218119999999914</v>
      </c>
      <c r="U632" s="311">
        <f t="shared" ca="1" si="263"/>
        <v>0</v>
      </c>
      <c r="V632" s="306">
        <f t="shared" ca="1" si="264"/>
        <v>1.0654468142996254</v>
      </c>
      <c r="W632" s="304">
        <f t="shared" ca="1" si="265"/>
        <v>16.308256501040127</v>
      </c>
      <c r="Y632" s="314" t="str">
        <f t="shared" ca="1" si="283"/>
        <v/>
      </c>
      <c r="Z632" s="315" t="str">
        <f t="shared" ca="1" si="284"/>
        <v/>
      </c>
      <c r="AA632" s="316" t="str">
        <f t="shared" ca="1" si="285"/>
        <v/>
      </c>
      <c r="AC632" s="310" t="e">
        <f t="shared" ca="1" si="286"/>
        <v>#N/A</v>
      </c>
      <c r="AD632" s="323" t="e">
        <f t="shared" ca="1" si="287"/>
        <v>#N/A</v>
      </c>
      <c r="AE632" s="324" t="e">
        <f t="shared" ca="1" si="266"/>
        <v>#N/A</v>
      </c>
      <c r="AG632" s="306">
        <f t="shared" ca="1" si="288"/>
        <v>7.3491700428954783</v>
      </c>
      <c r="AH632" s="304">
        <f t="shared" ca="1" si="289"/>
        <v>-2.3336442349918785</v>
      </c>
    </row>
    <row r="633" spans="1:34" x14ac:dyDescent="0.2">
      <c r="A633" s="347">
        <f t="shared" ca="1" si="267"/>
        <v>0.1</v>
      </c>
      <c r="B633" s="304">
        <f t="shared" ca="1" si="268"/>
        <v>26.90000000000007</v>
      </c>
      <c r="D633" s="306">
        <f t="shared" ca="1" si="269"/>
        <v>-0.37727153574835842</v>
      </c>
      <c r="E633" s="307">
        <f t="shared" ca="1" si="270"/>
        <v>-7.4600189135396135</v>
      </c>
      <c r="F633" s="304">
        <f t="shared" ca="1" si="271"/>
        <v>7.4695525971810843</v>
      </c>
      <c r="G633" s="306">
        <f t="shared" ca="1" si="272"/>
        <v>12.331528914821785</v>
      </c>
      <c r="H633" s="307">
        <f t="shared" ca="1" si="273"/>
        <v>-77.792677985427389</v>
      </c>
      <c r="I633" s="304">
        <f t="shared" ca="1" si="274"/>
        <v>78.763997825919702</v>
      </c>
      <c r="J633" s="306">
        <f t="shared" ca="1" si="275"/>
        <v>419.07488569550941</v>
      </c>
      <c r="K633" s="307">
        <f t="shared" ca="1" si="276"/>
        <v>1385.46380074486</v>
      </c>
      <c r="L633" s="304">
        <f t="shared" ca="1" si="261"/>
        <v>1447.4576688093844</v>
      </c>
      <c r="M633" s="306">
        <f t="shared" ca="1" si="277"/>
        <v>-1.4135865411712203</v>
      </c>
      <c r="N633" s="304">
        <f t="shared" ca="1" si="278"/>
        <v>-80.992542785606901</v>
      </c>
      <c r="P633" s="310">
        <f t="shared" ca="1" si="279"/>
        <v>23</v>
      </c>
      <c r="Q633" s="304">
        <f t="shared" ca="1" si="280"/>
        <v>0</v>
      </c>
      <c r="R633" s="306">
        <f t="shared" ca="1" si="281"/>
        <v>0</v>
      </c>
      <c r="S633" s="307">
        <f t="shared" ca="1" si="282"/>
        <v>6.8519999999999914</v>
      </c>
      <c r="T633" s="304">
        <f t="shared" ca="1" si="262"/>
        <v>67.218119999999914</v>
      </c>
      <c r="U633" s="311">
        <f t="shared" ca="1" si="263"/>
        <v>0</v>
      </c>
      <c r="V633" s="306">
        <f t="shared" ca="1" si="264"/>
        <v>1.066276002080129</v>
      </c>
      <c r="W633" s="304">
        <f t="shared" ca="1" si="265"/>
        <v>16.628055177486655</v>
      </c>
      <c r="Y633" s="314" t="str">
        <f t="shared" ca="1" si="283"/>
        <v/>
      </c>
      <c r="Z633" s="315" t="str">
        <f t="shared" ca="1" si="284"/>
        <v/>
      </c>
      <c r="AA633" s="316" t="str">
        <f t="shared" ca="1" si="285"/>
        <v/>
      </c>
      <c r="AC633" s="310" t="e">
        <f t="shared" ca="1" si="286"/>
        <v>#N/A</v>
      </c>
      <c r="AD633" s="323" t="e">
        <f t="shared" ca="1" si="287"/>
        <v>#N/A</v>
      </c>
      <c r="AE633" s="324" t="e">
        <f t="shared" ca="1" si="266"/>
        <v>#N/A</v>
      </c>
      <c r="AG633" s="306">
        <f t="shared" ca="1" si="288"/>
        <v>7.3058992222067065</v>
      </c>
      <c r="AH633" s="304">
        <f t="shared" ca="1" si="289"/>
        <v>-2.3800724607472485</v>
      </c>
    </row>
    <row r="634" spans="1:34" x14ac:dyDescent="0.2">
      <c r="A634" s="347">
        <f t="shared" ca="1" si="267"/>
        <v>0.1</v>
      </c>
      <c r="B634" s="304">
        <f t="shared" ca="1" si="268"/>
        <v>27.000000000000071</v>
      </c>
      <c r="D634" s="306">
        <f t="shared" ca="1" si="269"/>
        <v>-0.37993847633899058</v>
      </c>
      <c r="E634" s="307">
        <f t="shared" ca="1" si="270"/>
        <v>-7.4131819129428571</v>
      </c>
      <c r="F634" s="304">
        <f t="shared" ca="1" si="271"/>
        <v>7.4229117817865724</v>
      </c>
      <c r="G634" s="306">
        <f t="shared" ca="1" si="272"/>
        <v>12.293535067187886</v>
      </c>
      <c r="H634" s="307">
        <f t="shared" ca="1" si="273"/>
        <v>-78.533996176721672</v>
      </c>
      <c r="I634" s="304">
        <f t="shared" ca="1" si="274"/>
        <v>79.490374008011258</v>
      </c>
      <c r="J634" s="306">
        <f t="shared" ca="1" si="275"/>
        <v>420.30613889460989</v>
      </c>
      <c r="K634" s="307">
        <f t="shared" ca="1" si="276"/>
        <v>1377.6474670367525</v>
      </c>
      <c r="L634" s="304">
        <f t="shared" ca="1" si="261"/>
        <v>1440.3366946048675</v>
      </c>
      <c r="M634" s="306">
        <f t="shared" ca="1" si="277"/>
        <v>-1.4155187048384597</v>
      </c>
      <c r="N634" s="304">
        <f t="shared" ca="1" si="278"/>
        <v>-81.103247609068234</v>
      </c>
      <c r="P634" s="310">
        <f t="shared" ca="1" si="279"/>
        <v>23</v>
      </c>
      <c r="Q634" s="304">
        <f t="shared" ca="1" si="280"/>
        <v>0</v>
      </c>
      <c r="R634" s="306">
        <f t="shared" ca="1" si="281"/>
        <v>0</v>
      </c>
      <c r="S634" s="307">
        <f t="shared" ca="1" si="282"/>
        <v>6.8519999999999914</v>
      </c>
      <c r="T634" s="304">
        <f t="shared" ca="1" si="262"/>
        <v>67.218119999999914</v>
      </c>
      <c r="U634" s="311">
        <f t="shared" ca="1" si="263"/>
        <v>0</v>
      </c>
      <c r="V634" s="306">
        <f t="shared" ca="1" si="264"/>
        <v>1.0671137639469221</v>
      </c>
      <c r="W634" s="304">
        <f t="shared" ca="1" si="265"/>
        <v>16.949469949555105</v>
      </c>
      <c r="Y634" s="314" t="str">
        <f t="shared" ca="1" si="283"/>
        <v/>
      </c>
      <c r="Z634" s="315" t="str">
        <f t="shared" ca="1" si="284"/>
        <v/>
      </c>
      <c r="AA634" s="316" t="str">
        <f t="shared" ca="1" si="285"/>
        <v/>
      </c>
      <c r="AC634" s="310">
        <f t="shared" ca="1" si="286"/>
        <v>27.000000000000071</v>
      </c>
      <c r="AD634" s="323">
        <f t="shared" ca="1" si="287"/>
        <v>420.30613889460989</v>
      </c>
      <c r="AE634" s="324" t="e">
        <f t="shared" ca="1" si="266"/>
        <v>#N/A</v>
      </c>
      <c r="AG634" s="306">
        <f t="shared" ca="1" si="288"/>
        <v>7.2622780316249305</v>
      </c>
      <c r="AH634" s="304">
        <f t="shared" ca="1" si="289"/>
        <v>-2.4267447719624453</v>
      </c>
    </row>
    <row r="635" spans="1:34" x14ac:dyDescent="0.2">
      <c r="A635" s="347">
        <f t="shared" ca="1" si="267"/>
        <v>0.1</v>
      </c>
      <c r="B635" s="304">
        <f t="shared" ca="1" si="268"/>
        <v>27.100000000000072</v>
      </c>
      <c r="D635" s="306">
        <f t="shared" ca="1" si="269"/>
        <v>-0.38256127927219841</v>
      </c>
      <c r="E635" s="307">
        <f t="shared" ca="1" si="270"/>
        <v>-7.3661084847015381</v>
      </c>
      <c r="F635" s="304">
        <f t="shared" ca="1" si="271"/>
        <v>7.3760360181326643</v>
      </c>
      <c r="G635" s="306">
        <f t="shared" ca="1" si="272"/>
        <v>12.255278939260666</v>
      </c>
      <c r="H635" s="307">
        <f t="shared" ca="1" si="273"/>
        <v>-79.270607025191822</v>
      </c>
      <c r="I635" s="304">
        <f t="shared" ca="1" si="274"/>
        <v>80.212349423399118</v>
      </c>
      <c r="J635" s="306">
        <f t="shared" ca="1" si="275"/>
        <v>421.53357959493229</v>
      </c>
      <c r="K635" s="307">
        <f t="shared" ca="1" si="276"/>
        <v>1369.7572368766569</v>
      </c>
      <c r="L635" s="304">
        <f t="shared" ca="1" si="261"/>
        <v>1433.1522761737815</v>
      </c>
      <c r="M635" s="306">
        <f t="shared" ca="1" si="277"/>
        <v>-1.4174101348393295</v>
      </c>
      <c r="N635" s="304">
        <f t="shared" ca="1" si="278"/>
        <v>-81.211618565362514</v>
      </c>
      <c r="P635" s="310">
        <f t="shared" ca="1" si="279"/>
        <v>23</v>
      </c>
      <c r="Q635" s="304">
        <f t="shared" ca="1" si="280"/>
        <v>0</v>
      </c>
      <c r="R635" s="306">
        <f t="shared" ca="1" si="281"/>
        <v>0</v>
      </c>
      <c r="S635" s="307">
        <f t="shared" ca="1" si="282"/>
        <v>6.8519999999999914</v>
      </c>
      <c r="T635" s="304">
        <f t="shared" ca="1" si="262"/>
        <v>67.218119999999914</v>
      </c>
      <c r="U635" s="311">
        <f t="shared" ca="1" si="263"/>
        <v>0</v>
      </c>
      <c r="V635" s="306">
        <f t="shared" ca="1" si="264"/>
        <v>1.0679600676718639</v>
      </c>
      <c r="W635" s="304">
        <f t="shared" ca="1" si="265"/>
        <v>17.272444553887428</v>
      </c>
      <c r="Y635" s="314" t="str">
        <f t="shared" ca="1" si="283"/>
        <v/>
      </c>
      <c r="Z635" s="315" t="str">
        <f t="shared" ca="1" si="284"/>
        <v/>
      </c>
      <c r="AA635" s="316" t="str">
        <f t="shared" ca="1" si="285"/>
        <v/>
      </c>
      <c r="AC635" s="310" t="e">
        <f t="shared" ca="1" si="286"/>
        <v>#N/A</v>
      </c>
      <c r="AD635" s="323" t="e">
        <f t="shared" ca="1" si="287"/>
        <v>#N/A</v>
      </c>
      <c r="AE635" s="324" t="e">
        <f t="shared" ca="1" si="266"/>
        <v>#N/A</v>
      </c>
      <c r="AG635" s="306">
        <f t="shared" ca="1" si="288"/>
        <v>7.2183193529188667</v>
      </c>
      <c r="AH635" s="304">
        <f t="shared" ca="1" si="289"/>
        <v>-2.4736529406823009</v>
      </c>
    </row>
    <row r="636" spans="1:34" x14ac:dyDescent="0.2">
      <c r="A636" s="347">
        <f t="shared" ca="1" si="267"/>
        <v>0.1</v>
      </c>
      <c r="B636" s="304">
        <f t="shared" ca="1" si="268"/>
        <v>27.200000000000074</v>
      </c>
      <c r="D636" s="306">
        <f t="shared" ca="1" si="269"/>
        <v>-0.38513981412868581</v>
      </c>
      <c r="E636" s="307">
        <f t="shared" ca="1" si="270"/>
        <v>-7.3188068572846134</v>
      </c>
      <c r="F636" s="304">
        <f t="shared" ca="1" si="271"/>
        <v>7.3289335165945779</v>
      </c>
      <c r="G636" s="306">
        <f t="shared" ca="1" si="272"/>
        <v>12.216764957847797</v>
      </c>
      <c r="H636" s="307">
        <f t="shared" ca="1" si="273"/>
        <v>-80.002487710920278</v>
      </c>
      <c r="I636" s="304">
        <f t="shared" ca="1" si="274"/>
        <v>80.929891795128754</v>
      </c>
      <c r="J636" s="306">
        <f t="shared" ca="1" si="275"/>
        <v>422.75718178978769</v>
      </c>
      <c r="K636" s="307">
        <f t="shared" ca="1" si="276"/>
        <v>1361.7935821398512</v>
      </c>
      <c r="L636" s="304">
        <f t="shared" ca="1" si="261"/>
        <v>1425.9051143439142</v>
      </c>
      <c r="M636" s="306">
        <f t="shared" ca="1" si="277"/>
        <v>-1.4192621402853949</v>
      </c>
      <c r="N636" s="304">
        <f t="shared" ca="1" si="278"/>
        <v>-81.317730661057297</v>
      </c>
      <c r="P636" s="310">
        <f t="shared" ca="1" si="279"/>
        <v>23</v>
      </c>
      <c r="Q636" s="304">
        <f t="shared" ca="1" si="280"/>
        <v>0</v>
      </c>
      <c r="R636" s="306">
        <f t="shared" ca="1" si="281"/>
        <v>0</v>
      </c>
      <c r="S636" s="307">
        <f t="shared" ca="1" si="282"/>
        <v>6.8519999999999914</v>
      </c>
      <c r="T636" s="304">
        <f t="shared" ca="1" si="262"/>
        <v>67.218119999999914</v>
      </c>
      <c r="U636" s="311">
        <f t="shared" ca="1" si="263"/>
        <v>0</v>
      </c>
      <c r="V636" s="306">
        <f t="shared" ca="1" si="264"/>
        <v>1.0688148808332218</v>
      </c>
      <c r="W636" s="304">
        <f t="shared" ca="1" si="265"/>
        <v>17.596922858713718</v>
      </c>
      <c r="Y636" s="314" t="str">
        <f t="shared" ca="1" si="283"/>
        <v/>
      </c>
      <c r="Z636" s="315" t="str">
        <f t="shared" ca="1" si="284"/>
        <v/>
      </c>
      <c r="AA636" s="316" t="str">
        <f t="shared" ca="1" si="285"/>
        <v/>
      </c>
      <c r="AC636" s="310" t="e">
        <f t="shared" ca="1" si="286"/>
        <v>#N/A</v>
      </c>
      <c r="AD636" s="323" t="e">
        <f t="shared" ca="1" si="287"/>
        <v>#N/A</v>
      </c>
      <c r="AE636" s="324" t="e">
        <f t="shared" ca="1" si="266"/>
        <v>#N/A</v>
      </c>
      <c r="AG636" s="306">
        <f t="shared" ca="1" si="288"/>
        <v>7.1740358007324438</v>
      </c>
      <c r="AH636" s="304">
        <f t="shared" ca="1" si="289"/>
        <v>-2.5207887556753428</v>
      </c>
    </row>
    <row r="637" spans="1:34" x14ac:dyDescent="0.2">
      <c r="A637" s="347">
        <f t="shared" ca="1" si="267"/>
        <v>0.1</v>
      </c>
      <c r="B637" s="304">
        <f t="shared" ca="1" si="268"/>
        <v>27.300000000000075</v>
      </c>
      <c r="D637" s="306">
        <f t="shared" ca="1" si="269"/>
        <v>-0.38767396365367912</v>
      </c>
      <c r="E637" s="307">
        <f t="shared" ca="1" si="270"/>
        <v>-7.2712852404004149</v>
      </c>
      <c r="F637" s="304">
        <f t="shared" ca="1" si="271"/>
        <v>7.2816124690455668</v>
      </c>
      <c r="G637" s="306">
        <f t="shared" ca="1" si="272"/>
        <v>12.17799756148243</v>
      </c>
      <c r="H637" s="307">
        <f t="shared" ca="1" si="273"/>
        <v>-80.729616234960318</v>
      </c>
      <c r="I637" s="304">
        <f t="shared" ca="1" si="274"/>
        <v>81.642970071228049</v>
      </c>
      <c r="J637" s="306">
        <f t="shared" ca="1" si="275"/>
        <v>423.97691991575419</v>
      </c>
      <c r="K637" s="307">
        <f t="shared" ca="1" si="276"/>
        <v>1353.7569769425572</v>
      </c>
      <c r="L637" s="304">
        <f t="shared" ca="1" si="261"/>
        <v>1418.5959189430587</v>
      </c>
      <c r="M637" s="306">
        <f t="shared" ca="1" si="277"/>
        <v>-1.4210759749969526</v>
      </c>
      <c r="N637" s="304">
        <f t="shared" ca="1" si="278"/>
        <v>-81.421655734763888</v>
      </c>
      <c r="P637" s="310">
        <f t="shared" ca="1" si="279"/>
        <v>23</v>
      </c>
      <c r="Q637" s="304">
        <f t="shared" ca="1" si="280"/>
        <v>0</v>
      </c>
      <c r="R637" s="306">
        <f t="shared" ca="1" si="281"/>
        <v>0</v>
      </c>
      <c r="S637" s="307">
        <f t="shared" ca="1" si="282"/>
        <v>6.8519999999999914</v>
      </c>
      <c r="T637" s="304">
        <f t="shared" ca="1" si="262"/>
        <v>67.218119999999914</v>
      </c>
      <c r="U637" s="311">
        <f t="shared" ca="1" si="263"/>
        <v>0</v>
      </c>
      <c r="V637" s="306">
        <f t="shared" ca="1" si="264"/>
        <v>1.0696781708206857</v>
      </c>
      <c r="W637" s="304">
        <f t="shared" ca="1" si="265"/>
        <v>17.922848880609227</v>
      </c>
      <c r="Y637" s="314" t="str">
        <f t="shared" ca="1" si="283"/>
        <v/>
      </c>
      <c r="Z637" s="315" t="str">
        <f t="shared" ca="1" si="284"/>
        <v/>
      </c>
      <c r="AA637" s="316" t="str">
        <f t="shared" ca="1" si="285"/>
        <v/>
      </c>
      <c r="AC637" s="310" t="e">
        <f t="shared" ca="1" si="286"/>
        <v>#N/A</v>
      </c>
      <c r="AD637" s="323" t="e">
        <f t="shared" ca="1" si="287"/>
        <v>#N/A</v>
      </c>
      <c r="AE637" s="324" t="e">
        <f t="shared" ca="1" si="266"/>
        <v>#N/A</v>
      </c>
      <c r="AG637" s="306">
        <f t="shared" ca="1" si="288"/>
        <v>7.129439735989183</v>
      </c>
      <c r="AH637" s="304">
        <f t="shared" ca="1" si="289"/>
        <v>-2.5681440249144396</v>
      </c>
    </row>
    <row r="638" spans="1:34" x14ac:dyDescent="0.2">
      <c r="A638" s="347">
        <f t="shared" ca="1" si="267"/>
        <v>0.1</v>
      </c>
      <c r="B638" s="304">
        <f t="shared" ca="1" si="268"/>
        <v>27.400000000000077</v>
      </c>
      <c r="D638" s="306">
        <f t="shared" ca="1" si="269"/>
        <v>-0.39016362355398837</v>
      </c>
      <c r="E638" s="307">
        <f t="shared" ca="1" si="270"/>
        <v>-7.2235518225115518</v>
      </c>
      <c r="F638" s="304">
        <f t="shared" ca="1" si="271"/>
        <v>7.2340810463841736</v>
      </c>
      <c r="G638" s="306">
        <f t="shared" ca="1" si="272"/>
        <v>12.138981199127031</v>
      </c>
      <c r="H638" s="307">
        <f t="shared" ca="1" si="273"/>
        <v>-81.451971417211467</v>
      </c>
      <c r="I638" s="304">
        <f t="shared" ca="1" si="274"/>
        <v>82.351554401255797</v>
      </c>
      <c r="J638" s="306">
        <f t="shared" ca="1" si="275"/>
        <v>425.19276885378468</v>
      </c>
      <c r="K638" s="307">
        <f t="shared" ca="1" si="276"/>
        <v>1345.6478975599487</v>
      </c>
      <c r="L638" s="304">
        <f t="shared" ca="1" si="261"/>
        <v>1411.2254089595531</v>
      </c>
      <c r="M638" s="306">
        <f t="shared" ca="1" si="277"/>
        <v>-1.4228528403626333</v>
      </c>
      <c r="N638" s="304">
        <f t="shared" ca="1" si="278"/>
        <v>-81.523462620980354</v>
      </c>
      <c r="P638" s="310">
        <f t="shared" ca="1" si="279"/>
        <v>23</v>
      </c>
      <c r="Q638" s="304">
        <f t="shared" ca="1" si="280"/>
        <v>0</v>
      </c>
      <c r="R638" s="306">
        <f t="shared" ca="1" si="281"/>
        <v>0</v>
      </c>
      <c r="S638" s="307">
        <f t="shared" ca="1" si="282"/>
        <v>6.8519999999999914</v>
      </c>
      <c r="T638" s="304">
        <f t="shared" ca="1" si="262"/>
        <v>67.218119999999914</v>
      </c>
      <c r="U638" s="311">
        <f t="shared" ca="1" si="263"/>
        <v>0</v>
      </c>
      <c r="V638" s="306">
        <f t="shared" ca="1" si="264"/>
        <v>1.0705499048403802</v>
      </c>
      <c r="W638" s="304">
        <f t="shared" ca="1" si="265"/>
        <v>18.250166801004447</v>
      </c>
      <c r="Y638" s="314" t="str">
        <f t="shared" ca="1" si="283"/>
        <v/>
      </c>
      <c r="Z638" s="315" t="str">
        <f t="shared" ca="1" si="284"/>
        <v/>
      </c>
      <c r="AA638" s="316" t="str">
        <f t="shared" ca="1" si="285"/>
        <v/>
      </c>
      <c r="AC638" s="310" t="e">
        <f t="shared" ca="1" si="286"/>
        <v>#N/A</v>
      </c>
      <c r="AD638" s="323" t="e">
        <f t="shared" ca="1" si="287"/>
        <v>#N/A</v>
      </c>
      <c r="AE638" s="324" t="e">
        <f t="shared" ca="1" si="266"/>
        <v>#N/A</v>
      </c>
      <c r="AG638" s="306">
        <f t="shared" ca="1" si="288"/>
        <v>7.0845432781765272</v>
      </c>
      <c r="AH638" s="304">
        <f t="shared" ca="1" si="289"/>
        <v>-2.6157105780223655</v>
      </c>
    </row>
    <row r="639" spans="1:34" x14ac:dyDescent="0.2">
      <c r="A639" s="347">
        <f t="shared" ca="1" si="267"/>
        <v>0.1</v>
      </c>
      <c r="B639" s="304">
        <f t="shared" ca="1" si="268"/>
        <v>27.500000000000078</v>
      </c>
      <c r="D639" s="306">
        <f t="shared" ca="1" si="269"/>
        <v>-0.39260870229882888</v>
      </c>
      <c r="E639" s="307">
        <f t="shared" ca="1" si="270"/>
        <v>-7.1756147683882689</v>
      </c>
      <c r="F639" s="304">
        <f t="shared" ca="1" si="271"/>
        <v>7.1863473960999551</v>
      </c>
      <c r="G639" s="306">
        <f t="shared" ca="1" si="272"/>
        <v>12.099720328897147</v>
      </c>
      <c r="H639" s="307">
        <f t="shared" ca="1" si="273"/>
        <v>-82.169532894050292</v>
      </c>
      <c r="I639" s="304">
        <f t="shared" ca="1" si="274"/>
        <v>83.055616113926575</v>
      </c>
      <c r="J639" s="306">
        <f t="shared" ca="1" si="275"/>
        <v>426.40470393018592</v>
      </c>
      <c r="K639" s="307">
        <f t="shared" ca="1" si="276"/>
        <v>1337.4668223443855</v>
      </c>
      <c r="L639" s="304">
        <f t="shared" ca="1" si="261"/>
        <v>1403.7943127131473</v>
      </c>
      <c r="M639" s="306">
        <f t="shared" ca="1" si="277"/>
        <v>-1.4245938880249909</v>
      </c>
      <c r="N639" s="304">
        <f t="shared" ca="1" si="278"/>
        <v>-81.623217303964566</v>
      </c>
      <c r="P639" s="310">
        <f t="shared" ca="1" si="279"/>
        <v>23</v>
      </c>
      <c r="Q639" s="304">
        <f t="shared" ca="1" si="280"/>
        <v>0</v>
      </c>
      <c r="R639" s="306">
        <f t="shared" ca="1" si="281"/>
        <v>0</v>
      </c>
      <c r="S639" s="307">
        <f t="shared" ca="1" si="282"/>
        <v>6.8519999999999914</v>
      </c>
      <c r="T639" s="304">
        <f t="shared" ca="1" si="262"/>
        <v>67.218119999999914</v>
      </c>
      <c r="U639" s="311">
        <f t="shared" ca="1" si="263"/>
        <v>0</v>
      </c>
      <c r="V639" s="306">
        <f t="shared" ca="1" si="264"/>
        <v>1.0714300499198754</v>
      </c>
      <c r="W639" s="304">
        <f t="shared" ca="1" si="265"/>
        <v>18.578820982441744</v>
      </c>
      <c r="Y639" s="314" t="str">
        <f t="shared" ca="1" si="283"/>
        <v/>
      </c>
      <c r="Z639" s="315" t="str">
        <f t="shared" ca="1" si="284"/>
        <v/>
      </c>
      <c r="AA639" s="316" t="str">
        <f t="shared" ca="1" si="285"/>
        <v/>
      </c>
      <c r="AC639" s="310" t="e">
        <f t="shared" ca="1" si="286"/>
        <v>#N/A</v>
      </c>
      <c r="AD639" s="323" t="e">
        <f t="shared" ca="1" si="287"/>
        <v>#N/A</v>
      </c>
      <c r="AE639" s="324" t="e">
        <f t="shared" ca="1" si="266"/>
        <v>#N/A</v>
      </c>
      <c r="AG639" s="306">
        <f t="shared" ca="1" si="288"/>
        <v>7.039358316605405</v>
      </c>
      <c r="AH639" s="304">
        <f t="shared" ca="1" si="289"/>
        <v>-2.6634802686813295</v>
      </c>
    </row>
    <row r="640" spans="1:34" x14ac:dyDescent="0.2">
      <c r="A640" s="347">
        <f t="shared" ca="1" si="267"/>
        <v>0.1</v>
      </c>
      <c r="B640" s="304">
        <f t="shared" ca="1" si="268"/>
        <v>27.60000000000008</v>
      </c>
      <c r="D640" s="306">
        <f t="shared" ca="1" si="269"/>
        <v>-0.39500912092395518</v>
      </c>
      <c r="E640" s="307">
        <f t="shared" ca="1" si="270"/>
        <v>-7.127482216701015</v>
      </c>
      <c r="F640" s="304">
        <f t="shared" ca="1" si="271"/>
        <v>7.1384196398784461</v>
      </c>
      <c r="G640" s="306">
        <f t="shared" ca="1" si="272"/>
        <v>12.060219416804753</v>
      </c>
      <c r="H640" s="307">
        <f t="shared" ca="1" si="273"/>
        <v>-82.882281115720389</v>
      </c>
      <c r="I640" s="304">
        <f t="shared" ca="1" si="274"/>
        <v>83.75512769572245</v>
      </c>
      <c r="J640" s="306">
        <f t="shared" ca="1" si="275"/>
        <v>427.61270091747099</v>
      </c>
      <c r="K640" s="307">
        <f t="shared" ca="1" si="276"/>
        <v>1329.2142316438969</v>
      </c>
      <c r="L640" s="304">
        <f t="shared" ca="1" si="261"/>
        <v>1396.3033680366921</v>
      </c>
      <c r="M640" s="306">
        <f t="shared" ca="1" si="277"/>
        <v>-1.426300222404195</v>
      </c>
      <c r="N640" s="304">
        <f t="shared" ca="1" si="278"/>
        <v>-81.72098306233103</v>
      </c>
      <c r="P640" s="310">
        <f t="shared" ca="1" si="279"/>
        <v>23</v>
      </c>
      <c r="Q640" s="304">
        <f t="shared" ca="1" si="280"/>
        <v>0</v>
      </c>
      <c r="R640" s="306">
        <f t="shared" ca="1" si="281"/>
        <v>0</v>
      </c>
      <c r="S640" s="307">
        <f t="shared" ca="1" si="282"/>
        <v>6.8519999999999914</v>
      </c>
      <c r="T640" s="304">
        <f t="shared" ca="1" si="262"/>
        <v>67.218119999999914</v>
      </c>
      <c r="U640" s="311">
        <f t="shared" ca="1" si="263"/>
        <v>0</v>
      </c>
      <c r="V640" s="306">
        <f t="shared" ca="1" si="264"/>
        <v>1.0723185729131965</v>
      </c>
      <c r="W640" s="304">
        <f t="shared" ca="1" si="265"/>
        <v>18.908755984572643</v>
      </c>
      <c r="Y640" s="314" t="str">
        <f t="shared" ca="1" si="283"/>
        <v/>
      </c>
      <c r="Z640" s="315" t="str">
        <f t="shared" ca="1" si="284"/>
        <v/>
      </c>
      <c r="AA640" s="316" t="str">
        <f t="shared" ca="1" si="285"/>
        <v/>
      </c>
      <c r="AC640" s="310" t="e">
        <f t="shared" ca="1" si="286"/>
        <v>#N/A</v>
      </c>
      <c r="AD640" s="323" t="e">
        <f t="shared" ca="1" si="287"/>
        <v>#N/A</v>
      </c>
      <c r="AE640" s="324" t="e">
        <f t="shared" ca="1" si="266"/>
        <v>#N/A</v>
      </c>
      <c r="AG640" s="306">
        <f t="shared" ca="1" si="288"/>
        <v>6.9938965207318233</v>
      </c>
      <c r="AH640" s="304">
        <f t="shared" ca="1" si="289"/>
        <v>-2.7114449770055118</v>
      </c>
    </row>
    <row r="641" spans="1:34" x14ac:dyDescent="0.2">
      <c r="A641" s="347">
        <f t="shared" ca="1" si="267"/>
        <v>0.1</v>
      </c>
      <c r="B641" s="304">
        <f t="shared" ca="1" si="268"/>
        <v>27.700000000000081</v>
      </c>
      <c r="D641" s="306">
        <f t="shared" ca="1" si="269"/>
        <v>-0.39736481283870467</v>
      </c>
      <c r="E641" s="307">
        <f t="shared" ca="1" si="270"/>
        <v>-7.0791622776529177</v>
      </c>
      <c r="F641" s="304">
        <f t="shared" ca="1" si="271"/>
        <v>7.0903058712460627</v>
      </c>
      <c r="G641" s="306">
        <f t="shared" ca="1" si="272"/>
        <v>12.020482935520882</v>
      </c>
      <c r="H641" s="307">
        <f t="shared" ca="1" si="273"/>
        <v>-83.590197343485684</v>
      </c>
      <c r="I641" s="304">
        <f t="shared" ca="1" si="274"/>
        <v>84.450062770409062</v>
      </c>
      <c r="J641" s="306">
        <f t="shared" ca="1" si="275"/>
        <v>428.81673603508727</v>
      </c>
      <c r="K641" s="307">
        <f t="shared" ca="1" si="276"/>
        <v>1320.8906077209367</v>
      </c>
      <c r="L641" s="304">
        <f t="shared" ca="1" si="261"/>
        <v>1388.7533224691745</v>
      </c>
      <c r="M641" s="306">
        <f t="shared" ca="1" si="277"/>
        <v>-1.4279729030709911</v>
      </c>
      <c r="N641" s="304">
        <f t="shared" ca="1" si="278"/>
        <v>-81.816820605011586</v>
      </c>
      <c r="P641" s="310">
        <f t="shared" ca="1" si="279"/>
        <v>23</v>
      </c>
      <c r="Q641" s="304">
        <f t="shared" ca="1" si="280"/>
        <v>0</v>
      </c>
      <c r="R641" s="306">
        <f t="shared" ca="1" si="281"/>
        <v>0</v>
      </c>
      <c r="S641" s="307">
        <f t="shared" ca="1" si="282"/>
        <v>6.8519999999999914</v>
      </c>
      <c r="T641" s="304">
        <f t="shared" ca="1" si="262"/>
        <v>67.218119999999914</v>
      </c>
      <c r="U641" s="311">
        <f t="shared" ca="1" si="263"/>
        <v>0</v>
      </c>
      <c r="V641" s="306">
        <f t="shared" ca="1" si="264"/>
        <v>1.073215440505831</v>
      </c>
      <c r="W641" s="304">
        <f t="shared" ca="1" si="265"/>
        <v>19.239916579889929</v>
      </c>
      <c r="Y641" s="314" t="str">
        <f t="shared" ca="1" si="283"/>
        <v/>
      </c>
      <c r="Z641" s="315" t="str">
        <f t="shared" ca="1" si="284"/>
        <v/>
      </c>
      <c r="AA641" s="316" t="str">
        <f t="shared" ca="1" si="285"/>
        <v/>
      </c>
      <c r="AC641" s="310" t="e">
        <f t="shared" ca="1" si="286"/>
        <v>#N/A</v>
      </c>
      <c r="AD641" s="323" t="e">
        <f t="shared" ca="1" si="287"/>
        <v>#N/A</v>
      </c>
      <c r="AE641" s="324" t="e">
        <f t="shared" ca="1" si="266"/>
        <v>#N/A</v>
      </c>
      <c r="AG641" s="306">
        <f t="shared" ca="1" si="288"/>
        <v>6.9481693496194303</v>
      </c>
      <c r="AH641" s="304">
        <f t="shared" ca="1" si="289"/>
        <v>-2.7595966118757542</v>
      </c>
    </row>
    <row r="642" spans="1:34" x14ac:dyDescent="0.2">
      <c r="A642" s="347">
        <f t="shared" ca="1" si="267"/>
        <v>0.1</v>
      </c>
      <c r="B642" s="304">
        <f t="shared" ca="1" si="268"/>
        <v>27.800000000000082</v>
      </c>
      <c r="D642" s="306">
        <f t="shared" ca="1" si="269"/>
        <v>-0.3996757236355904</v>
      </c>
      <c r="E642" s="307">
        <f t="shared" ca="1" si="270"/>
        <v>-7.0306630306528746</v>
      </c>
      <c r="F642" s="304">
        <f t="shared" ca="1" si="271"/>
        <v>7.0420141532556366</v>
      </c>
      <c r="G642" s="306">
        <f t="shared" ca="1" si="272"/>
        <v>11.980515363157323</v>
      </c>
      <c r="H642" s="307">
        <f t="shared" ca="1" si="273"/>
        <v>-84.293263646550969</v>
      </c>
      <c r="I642" s="304">
        <f t="shared" ca="1" si="274"/>
        <v>85.140396079380551</v>
      </c>
      <c r="J642" s="306">
        <f t="shared" ca="1" si="275"/>
        <v>430.01678595002119</v>
      </c>
      <c r="K642" s="307">
        <f t="shared" ca="1" si="276"/>
        <v>1312.4964346714348</v>
      </c>
      <c r="L642" s="304">
        <f t="shared" ca="1" si="261"/>
        <v>1381.1449334606468</v>
      </c>
      <c r="M642" s="306">
        <f t="shared" ca="1" si="277"/>
        <v>-1.4296129469792351</v>
      </c>
      <c r="N642" s="304">
        <f t="shared" ca="1" si="278"/>
        <v>-81.910788199170099</v>
      </c>
      <c r="P642" s="310">
        <f t="shared" ca="1" si="279"/>
        <v>23</v>
      </c>
      <c r="Q642" s="304">
        <f t="shared" ca="1" si="280"/>
        <v>0</v>
      </c>
      <c r="R642" s="306">
        <f t="shared" ca="1" si="281"/>
        <v>0</v>
      </c>
      <c r="S642" s="307">
        <f t="shared" ca="1" si="282"/>
        <v>6.8519999999999914</v>
      </c>
      <c r="T642" s="304">
        <f t="shared" ca="1" si="262"/>
        <v>67.218119999999914</v>
      </c>
      <c r="U642" s="311">
        <f t="shared" ca="1" si="263"/>
        <v>0</v>
      </c>
      <c r="V642" s="306">
        <f t="shared" ca="1" si="264"/>
        <v>1.0741206192197268</v>
      </c>
      <c r="W642" s="304">
        <f t="shared" ca="1" si="265"/>
        <v>19.572247769188795</v>
      </c>
      <c r="Y642" s="314" t="str">
        <f t="shared" ca="1" si="283"/>
        <v/>
      </c>
      <c r="Z642" s="315" t="str">
        <f t="shared" ca="1" si="284"/>
        <v/>
      </c>
      <c r="AA642" s="316" t="str">
        <f t="shared" ca="1" si="285"/>
        <v/>
      </c>
      <c r="AC642" s="310" t="e">
        <f t="shared" ca="1" si="286"/>
        <v>#N/A</v>
      </c>
      <c r="AD642" s="323" t="e">
        <f t="shared" ca="1" si="287"/>
        <v>#N/A</v>
      </c>
      <c r="AE642" s="324" t="e">
        <f t="shared" ca="1" si="266"/>
        <v>#N/A</v>
      </c>
      <c r="AG642" s="306">
        <f t="shared" ca="1" si="288"/>
        <v>6.9021880606151722</v>
      </c>
      <c r="AH642" s="304">
        <f t="shared" ca="1" si="289"/>
        <v>-2.8079271132355448</v>
      </c>
    </row>
    <row r="643" spans="1:34" x14ac:dyDescent="0.2">
      <c r="A643" s="347">
        <f t="shared" ca="1" si="267"/>
        <v>0.1</v>
      </c>
      <c r="B643" s="304">
        <f t="shared" ca="1" si="268"/>
        <v>27.900000000000084</v>
      </c>
      <c r="D643" s="306">
        <f t="shared" ca="1" si="269"/>
        <v>-0.4019418109021145</v>
      </c>
      <c r="E643" s="307">
        <f t="shared" ca="1" si="270"/>
        <v>-6.9819925220299428</v>
      </c>
      <c r="F643" s="304">
        <f t="shared" ca="1" si="271"/>
        <v>6.9935525162132954</v>
      </c>
      <c r="G643" s="306">
        <f t="shared" ca="1" si="272"/>
        <v>11.940321182067112</v>
      </c>
      <c r="H643" s="307">
        <f t="shared" ca="1" si="273"/>
        <v>-84.991462898753966</v>
      </c>
      <c r="I643" s="304">
        <f t="shared" ca="1" si="274"/>
        <v>85.826103462764706</v>
      </c>
      <c r="J643" s="306">
        <f t="shared" ca="1" si="275"/>
        <v>431.21282777728243</v>
      </c>
      <c r="K643" s="307">
        <f t="shared" ca="1" si="276"/>
        <v>1304.0321983441695</v>
      </c>
      <c r="L643" s="304">
        <f t="shared" ca="1" si="261"/>
        <v>1373.4789685896205</v>
      </c>
      <c r="M643" s="306">
        <f t="shared" ca="1" si="277"/>
        <v>-1.4312213305675157</v>
      </c>
      <c r="N643" s="304">
        <f t="shared" ca="1" si="278"/>
        <v>-82.002941790616688</v>
      </c>
      <c r="P643" s="310">
        <f t="shared" ca="1" si="279"/>
        <v>23</v>
      </c>
      <c r="Q643" s="304">
        <f t="shared" ca="1" si="280"/>
        <v>0</v>
      </c>
      <c r="R643" s="306">
        <f t="shared" ca="1" si="281"/>
        <v>0</v>
      </c>
      <c r="S643" s="307">
        <f t="shared" ca="1" si="282"/>
        <v>6.8519999999999914</v>
      </c>
      <c r="T643" s="304">
        <f t="shared" ca="1" si="262"/>
        <v>67.218119999999914</v>
      </c>
      <c r="U643" s="311">
        <f t="shared" ca="1" si="263"/>
        <v>0</v>
      </c>
      <c r="V643" s="306">
        <f t="shared" ca="1" si="264"/>
        <v>1.0750340754182897</v>
      </c>
      <c r="W643" s="304">
        <f t="shared" ca="1" si="265"/>
        <v>19.905694796752183</v>
      </c>
      <c r="Y643" s="314" t="str">
        <f t="shared" ca="1" si="283"/>
        <v/>
      </c>
      <c r="Z643" s="315" t="str">
        <f t="shared" ca="1" si="284"/>
        <v/>
      </c>
      <c r="AA643" s="316" t="str">
        <f t="shared" ca="1" si="285"/>
        <v/>
      </c>
      <c r="AC643" s="310" t="e">
        <f t="shared" ca="1" si="286"/>
        <v>#N/A</v>
      </c>
      <c r="AD643" s="323" t="e">
        <f t="shared" ca="1" si="287"/>
        <v>#N/A</v>
      </c>
      <c r="AE643" s="324" t="e">
        <f t="shared" ca="1" si="266"/>
        <v>#N/A</v>
      </c>
      <c r="AG643" s="306">
        <f t="shared" ca="1" si="288"/>
        <v>6.8559637173038137</v>
      </c>
      <c r="AH643" s="304">
        <f t="shared" ca="1" si="289"/>
        <v>-2.8564284543474634</v>
      </c>
    </row>
    <row r="644" spans="1:34" x14ac:dyDescent="0.2">
      <c r="A644" s="347">
        <f t="shared" ca="1" si="267"/>
        <v>0.1</v>
      </c>
      <c r="B644" s="304">
        <f t="shared" ca="1" si="268"/>
        <v>28.000000000000085</v>
      </c>
      <c r="D644" s="306">
        <f t="shared" ca="1" si="269"/>
        <v>-0.40416304403451764</v>
      </c>
      <c r="E644" s="307">
        <f t="shared" ca="1" si="270"/>
        <v>-6.9331587627896276</v>
      </c>
      <c r="F644" s="304">
        <f t="shared" ca="1" si="271"/>
        <v>6.9449289554472653</v>
      </c>
      <c r="G644" s="306">
        <f t="shared" ca="1" si="272"/>
        <v>11.89990487766366</v>
      </c>
      <c r="H644" s="307">
        <f t="shared" ca="1" si="273"/>
        <v>-85.684778775032925</v>
      </c>
      <c r="I644" s="304">
        <f t="shared" ca="1" si="274"/>
        <v>86.507161841224317</v>
      </c>
      <c r="J644" s="306">
        <f t="shared" ca="1" si="275"/>
        <v>432.40483908026897</v>
      </c>
      <c r="K644" s="307">
        <f t="shared" ca="1" si="276"/>
        <v>1295.4983862604802</v>
      </c>
      <c r="L644" s="304">
        <f t="shared" ref="L644:L707" ca="1" si="290">SQRT(pos_x^2+pos_z^2)</f>
        <v>1365.7562057935309</v>
      </c>
      <c r="M644" s="306">
        <f t="shared" ca="1" si="277"/>
        <v>-1.4327989917386574</v>
      </c>
      <c r="N644" s="304">
        <f t="shared" ca="1" si="278"/>
        <v>-82.093335117224782</v>
      </c>
      <c r="P644" s="310">
        <f t="shared" ca="1" si="279"/>
        <v>23</v>
      </c>
      <c r="Q644" s="304">
        <f t="shared" ca="1" si="280"/>
        <v>0</v>
      </c>
      <c r="R644" s="306">
        <f t="shared" ca="1" si="281"/>
        <v>0</v>
      </c>
      <c r="S644" s="307">
        <f t="shared" ca="1" si="282"/>
        <v>6.8519999999999914</v>
      </c>
      <c r="T644" s="304">
        <f t="shared" ref="T644:T707" ca="1" si="291">m*g</f>
        <v>67.218119999999914</v>
      </c>
      <c r="U644" s="311">
        <f t="shared" ref="U644:U707" ca="1" si="292">IF(pos_xz&lt;L_rampe,Poids*COS(Beta),0)</f>
        <v>0</v>
      </c>
      <c r="V644" s="306">
        <f t="shared" ref="V644:V707" ca="1" si="293">Rho_moyen*(20000-Alt_rampe-pos_z)/(20000+Alt_rampe+pos_z)</f>
        <v>1.0759557753113698</v>
      </c>
      <c r="W644" s="304">
        <f t="shared" ref="W644:W707" ca="1" si="294">1/2*Rho*Sref*Cx*vit_xz^2</f>
        <v>20.240203165254826</v>
      </c>
      <c r="Y644" s="314" t="str">
        <f t="shared" ca="1" si="283"/>
        <v/>
      </c>
      <c r="Z644" s="315" t="str">
        <f t="shared" ca="1" si="284"/>
        <v/>
      </c>
      <c r="AA644" s="316" t="str">
        <f t="shared" ca="1" si="285"/>
        <v/>
      </c>
      <c r="AC644" s="310">
        <f t="shared" ca="1" si="286"/>
        <v>28.000000000000085</v>
      </c>
      <c r="AD644" s="323">
        <f t="shared" ca="1" si="287"/>
        <v>432.40483908026897</v>
      </c>
      <c r="AE644" s="324" t="e">
        <f t="shared" ref="AE644:AE707" ca="1" si="295">IF(t&lt;T_para, pos_z, NA())</f>
        <v>#N/A</v>
      </c>
      <c r="AG644" s="306">
        <f t="shared" ca="1" si="288"/>
        <v>6.8095071968013272</v>
      </c>
      <c r="AH644" s="304">
        <f t="shared" ca="1" si="289"/>
        <v>-2.9050926440093705</v>
      </c>
    </row>
    <row r="645" spans="1:34" x14ac:dyDescent="0.2">
      <c r="A645" s="347">
        <f t="shared" ref="A645:A708" ca="1" si="296">IF(B644+0.01&lt;=T_ini+ROUNDUP(Temps_fin_propu,0), 0.01, IF(K644&gt;0, 0.1, 0.0001))</f>
        <v>0.1</v>
      </c>
      <c r="B645" s="304">
        <f t="shared" ref="B645:B708" ca="1" si="297">B644+pas</f>
        <v>28.100000000000087</v>
      </c>
      <c r="D645" s="306">
        <f t="shared" ref="D645:D708" ca="1" si="298">IF(AND(L644&lt;L_rampe,Poussee&lt;Poids*SIN(M644)),0,(-W644+Poussee)/m*COS(M644)-U644/m*SIN(M644))</f>
        <v>-0.40633940405319791</v>
      </c>
      <c r="E645" s="307">
        <f t="shared" ref="E645:E708" ca="1" si="299">IF(AND(L644&lt;L_rampe,Poussee&lt;Poids*SIN(M644)),0,(-W644+Poussee)/m*SIN(M644)+U644/m*COS(M644)-Poids/m)</f>
        <v>-6.8841697264127468</v>
      </c>
      <c r="F645" s="304">
        <f t="shared" ref="F645:F708" ca="1" si="300">SQRT(acc_x^2+acc_z^2)</f>
        <v>6.8961514291192927</v>
      </c>
      <c r="G645" s="306">
        <f t="shared" ref="G645:G708" ca="1" si="301">G644+acc_x*pas</f>
        <v>11.859270937258341</v>
      </c>
      <c r="H645" s="307">
        <f t="shared" ref="H645:H708" ca="1" si="302">H644+acc_z*pas</f>
        <v>-86.373195747674202</v>
      </c>
      <c r="I645" s="304">
        <f t="shared" ref="I645:I708" ca="1" si="303">SQRT(vit_x^2+vit_z^2)</f>
        <v>87.183549198397202</v>
      </c>
      <c r="J645" s="306">
        <f t="shared" ref="J645:J708" ca="1" si="304">J644+0.5*(vit_x+G644)*pas*(K644&gt;=0)</f>
        <v>433.59279787101508</v>
      </c>
      <c r="K645" s="307">
        <f t="shared" ref="K645:K708" ca="1" si="305">K644+0.5*(vit_z+H644)*pas</f>
        <v>1286.8954875343447</v>
      </c>
      <c r="L645" s="304">
        <f t="shared" ca="1" si="290"/>
        <v>1357.9774336128985</v>
      </c>
      <c r="M645" s="306">
        <f t="shared" ref="M645:M708" ca="1" si="306">IF(AND(L644&gt;L_rampe,G645&gt;0),ATAN2(G645,H645),$M$4)</f>
        <v>-1.4343468317252346</v>
      </c>
      <c r="N645" s="304">
        <f t="shared" ref="N645:N708" ca="1" si="307">DEGREES(Beta)</f>
        <v>-82.182019815817227</v>
      </c>
      <c r="P645" s="310">
        <f t="shared" ref="P645:P708" ca="1" si="308">MATCH(t-pas/2-T_ini,CdP_t)</f>
        <v>23</v>
      </c>
      <c r="Q645" s="304">
        <f t="shared" ref="Q645:Q708" ca="1" si="309">(INDEX(CdP,2,i_P+1)-INDEX(CdP,2,i_P+0))/(INDEX(CdP,1,i_P+1)-INDEX(CdP,1,i_P+0))*(t-pas/2-T_ini-INDEX(CdP,1,i_P+0))+INDEX(CdP,2,i_P+0)</f>
        <v>0</v>
      </c>
      <c r="R645" s="306">
        <f t="shared" ref="R645:R708" ca="1" si="310">Poussee/(g*ISP)</f>
        <v>0</v>
      </c>
      <c r="S645" s="307">
        <f t="shared" ref="S645:S708" ca="1" si="311">S644-Débit*pas</f>
        <v>6.8519999999999914</v>
      </c>
      <c r="T645" s="304">
        <f t="shared" ca="1" si="291"/>
        <v>67.218119999999914</v>
      </c>
      <c r="U645" s="311">
        <f t="shared" ca="1" si="292"/>
        <v>0</v>
      </c>
      <c r="V645" s="306">
        <f t="shared" ca="1" si="293"/>
        <v>1.0768856849602384</v>
      </c>
      <c r="W645" s="304">
        <f t="shared" ca="1" si="294"/>
        <v>20.575718650381617</v>
      </c>
      <c r="Y645" s="314" t="str">
        <f t="shared" ref="Y645:Y708" ca="1" si="312">IF(AND(pos_z&lt;=0,K644&gt;0),"Impact balistique","") &amp; IF(AND(H646&lt;0,vit_z&gt;=0),"Apogée","") &amp; IF(AND(Poussee=0,Q644&gt;0),"Fin de propulsion","") &amp; IF(AND(L646&gt;L_rampe,pos_xz&lt;=L_rampe),"Sortie de rampe","")</f>
        <v/>
      </c>
      <c r="Z645" s="315" t="str">
        <f t="shared" ref="Z645:Z708" ca="1" si="313">IF(ABS(t-T_para)&lt;pas/2,"Para","")</f>
        <v/>
      </c>
      <c r="AA645" s="316" t="str">
        <f t="shared" ref="AA645:AA708" ca="1" si="314">IF(ABS(t-T_satellite)&lt;pas/2,"Satellite","")</f>
        <v/>
      </c>
      <c r="AC645" s="310" t="e">
        <f t="shared" ref="AC645:AC708" ca="1" si="315">IF(ABS(t-ROUND(t,0))&lt;0.001,t,NA())</f>
        <v>#N/A</v>
      </c>
      <c r="AD645" s="323" t="e">
        <f t="shared" ref="AD645:AD708" ca="1" si="316">IF(ABS(t-ROUND(t,0))&lt;0.001,pos_x,NA())</f>
        <v>#N/A</v>
      </c>
      <c r="AE645" s="324" t="e">
        <f t="shared" ca="1" si="295"/>
        <v>#N/A</v>
      </c>
      <c r="AG645" s="306">
        <f t="shared" ref="AG645:AG708" ca="1" si="317">IF(AND(L644&lt;L_rampe,Poussee&lt;Poids*SIN(M644)),0,(-W644+Poussee)/m-Poids*SIN(M644)/m)</f>
        <v>6.7628291964421194</v>
      </c>
      <c r="AH645" s="304">
        <f t="shared" ref="AH645:AH708" ca="1" si="318">IF(AND(L644&lt;L_rampe,Poussee&lt;Poids*SIN(M644)), g*SIN(M644), (-W644+Poussee)/m)</f>
        <v>-2.9539117287295462</v>
      </c>
    </row>
    <row r="646" spans="1:34" x14ac:dyDescent="0.2">
      <c r="A646" s="347">
        <f t="shared" ca="1" si="296"/>
        <v>0.1</v>
      </c>
      <c r="B646" s="304">
        <f t="shared" ca="1" si="297"/>
        <v>28.200000000000088</v>
      </c>
      <c r="D646" s="306">
        <f t="shared" ca="1" si="298"/>
        <v>-0.40847088341957427</v>
      </c>
      <c r="E646" s="307">
        <f t="shared" ca="1" si="299"/>
        <v>-6.8350333466973963</v>
      </c>
      <c r="F646" s="304">
        <f t="shared" ca="1" si="300"/>
        <v>6.8472278560792006</v>
      </c>
      <c r="G646" s="306">
        <f t="shared" ca="1" si="301"/>
        <v>11.818423848916384</v>
      </c>
      <c r="H646" s="307">
        <f t="shared" ca="1" si="302"/>
        <v>-87.05669908234394</v>
      </c>
      <c r="I646" s="304">
        <f t="shared" ca="1" si="303"/>
        <v>87.855244563921275</v>
      </c>
      <c r="J646" s="306">
        <f t="shared" ca="1" si="304"/>
        <v>434.7766826103238</v>
      </c>
      <c r="K646" s="307">
        <f t="shared" ca="1" si="305"/>
        <v>1278.2239927928438</v>
      </c>
      <c r="L646" s="304">
        <f t="shared" ca="1" si="290"/>
        <v>1350.1434514498517</v>
      </c>
      <c r="M646" s="306">
        <f t="shared" ca="1" si="306"/>
        <v>-1.4358657168486166</v>
      </c>
      <c r="N646" s="304">
        <f t="shared" ca="1" si="307"/>
        <v>-82.269045522952226</v>
      </c>
      <c r="P646" s="310">
        <f t="shared" ca="1" si="308"/>
        <v>23</v>
      </c>
      <c r="Q646" s="304">
        <f t="shared" ca="1" si="309"/>
        <v>0</v>
      </c>
      <c r="R646" s="306">
        <f t="shared" ca="1" si="310"/>
        <v>0</v>
      </c>
      <c r="S646" s="307">
        <f t="shared" ca="1" si="311"/>
        <v>6.8519999999999914</v>
      </c>
      <c r="T646" s="304">
        <f t="shared" ca="1" si="291"/>
        <v>67.218119999999914</v>
      </c>
      <c r="U646" s="311">
        <f t="shared" ca="1" si="292"/>
        <v>0</v>
      </c>
      <c r="V646" s="306">
        <f t="shared" ca="1" si="293"/>
        <v>1.0778237702825582</v>
      </c>
      <c r="W646" s="304">
        <f t="shared" ca="1" si="294"/>
        <v>20.912187315155656</v>
      </c>
      <c r="Y646" s="314" t="str">
        <f t="shared" ca="1" si="312"/>
        <v/>
      </c>
      <c r="Z646" s="315" t="str">
        <f t="shared" ca="1" si="313"/>
        <v/>
      </c>
      <c r="AA646" s="316" t="str">
        <f t="shared" ca="1" si="314"/>
        <v/>
      </c>
      <c r="AC646" s="310" t="e">
        <f t="shared" ca="1" si="315"/>
        <v>#N/A</v>
      </c>
      <c r="AD646" s="323" t="e">
        <f t="shared" ca="1" si="316"/>
        <v>#N/A</v>
      </c>
      <c r="AE646" s="324" t="e">
        <f t="shared" ca="1" si="295"/>
        <v>#N/A</v>
      </c>
      <c r="AG646" s="306">
        <f t="shared" ca="1" si="317"/>
        <v>6.7159402399103652</v>
      </c>
      <c r="AH646" s="304">
        <f t="shared" ca="1" si="318"/>
        <v>-3.0028777948601348</v>
      </c>
    </row>
    <row r="647" spans="1:34" x14ac:dyDescent="0.2">
      <c r="A647" s="347">
        <f t="shared" ca="1" si="296"/>
        <v>0.1</v>
      </c>
      <c r="B647" s="304">
        <f t="shared" ca="1" si="297"/>
        <v>28.30000000000009</v>
      </c>
      <c r="D647" s="306">
        <f t="shared" ca="1" si="298"/>
        <v>-0.41055748585418789</v>
      </c>
      <c r="E647" s="307">
        <f t="shared" ca="1" si="299"/>
        <v>-6.7857575156446241</v>
      </c>
      <c r="F647" s="304">
        <f t="shared" ca="1" si="300"/>
        <v>6.7981661137632123</v>
      </c>
      <c r="G647" s="306">
        <f t="shared" ca="1" si="301"/>
        <v>11.777368100330964</v>
      </c>
      <c r="H647" s="307">
        <f t="shared" ca="1" si="302"/>
        <v>-87.735274833908406</v>
      </c>
      <c r="I647" s="304">
        <f t="shared" ca="1" si="303"/>
        <v>88.522227996995966</v>
      </c>
      <c r="J647" s="306">
        <f t="shared" ca="1" si="304"/>
        <v>435.95647220778619</v>
      </c>
      <c r="K647" s="307">
        <f t="shared" ca="1" si="305"/>
        <v>1269.4843940970311</v>
      </c>
      <c r="L647" s="304">
        <f t="shared" ca="1" si="290"/>
        <v>1342.2550698417065</v>
      </c>
      <c r="M647" s="306">
        <f t="shared" ca="1" si="306"/>
        <v>-1.4373564801785121</v>
      </c>
      <c r="N647" s="304">
        <f t="shared" ca="1" si="307"/>
        <v>-82.354459970008108</v>
      </c>
      <c r="P647" s="310">
        <f t="shared" ca="1" si="308"/>
        <v>23</v>
      </c>
      <c r="Q647" s="304">
        <f t="shared" ca="1" si="309"/>
        <v>0</v>
      </c>
      <c r="R647" s="306">
        <f t="shared" ca="1" si="310"/>
        <v>0</v>
      </c>
      <c r="S647" s="307">
        <f t="shared" ca="1" si="311"/>
        <v>6.8519999999999914</v>
      </c>
      <c r="T647" s="304">
        <f t="shared" ca="1" si="291"/>
        <v>67.218119999999914</v>
      </c>
      <c r="U647" s="311">
        <f t="shared" ca="1" si="292"/>
        <v>0</v>
      </c>
      <c r="V647" s="306">
        <f t="shared" ca="1" si="293"/>
        <v>1.0787699970573374</v>
      </c>
      <c r="W647" s="304">
        <f t="shared" ca="1" si="294"/>
        <v>21.249555523971836</v>
      </c>
      <c r="Y647" s="314" t="str">
        <f t="shared" ca="1" si="312"/>
        <v/>
      </c>
      <c r="Z647" s="315" t="str">
        <f t="shared" ca="1" si="313"/>
        <v/>
      </c>
      <c r="AA647" s="316" t="str">
        <f t="shared" ca="1" si="314"/>
        <v/>
      </c>
      <c r="AC647" s="310" t="e">
        <f t="shared" ca="1" si="315"/>
        <v>#N/A</v>
      </c>
      <c r="AD647" s="323" t="e">
        <f t="shared" ca="1" si="316"/>
        <v>#N/A</v>
      </c>
      <c r="AE647" s="324" t="e">
        <f t="shared" ca="1" si="295"/>
        <v>#N/A</v>
      </c>
      <c r="AG647" s="306">
        <f t="shared" ca="1" si="317"/>
        <v>6.6688506828613523</v>
      </c>
      <c r="AH647" s="304">
        <f t="shared" ca="1" si="318"/>
        <v>-3.0519829706882198</v>
      </c>
    </row>
    <row r="648" spans="1:34" x14ac:dyDescent="0.2">
      <c r="A648" s="347">
        <f t="shared" ca="1" si="296"/>
        <v>0.1</v>
      </c>
      <c r="B648" s="304">
        <f t="shared" ca="1" si="297"/>
        <v>28.400000000000091</v>
      </c>
      <c r="D648" s="306">
        <f t="shared" ca="1" si="298"/>
        <v>-0.41259922615586092</v>
      </c>
      <c r="E648" s="307">
        <f t="shared" ca="1" si="299"/>
        <v>-6.7363500813882933</v>
      </c>
      <c r="F648" s="304">
        <f t="shared" ca="1" si="300"/>
        <v>6.7489740361364916</v>
      </c>
      <c r="G648" s="306">
        <f t="shared" ca="1" si="301"/>
        <v>11.736108177715378</v>
      </c>
      <c r="H648" s="307">
        <f t="shared" ca="1" si="302"/>
        <v>-88.408909842047237</v>
      </c>
      <c r="I648" s="304">
        <f t="shared" ca="1" si="303"/>
        <v>89.184480570434872</v>
      </c>
      <c r="J648" s="306">
        <f t="shared" ca="1" si="304"/>
        <v>437.13214602168853</v>
      </c>
      <c r="K648" s="307">
        <f t="shared" ca="1" si="305"/>
        <v>1260.6771848632334</v>
      </c>
      <c r="L648" s="304">
        <f t="shared" ca="1" si="290"/>
        <v>1334.3131107503268</v>
      </c>
      <c r="M648" s="306">
        <f t="shared" ca="1" si="306"/>
        <v>-1.4388199230994645</v>
      </c>
      <c r="N648" s="304">
        <f t="shared" ca="1" si="307"/>
        <v>-82.438309072936974</v>
      </c>
      <c r="P648" s="310">
        <f t="shared" ca="1" si="308"/>
        <v>23</v>
      </c>
      <c r="Q648" s="304">
        <f t="shared" ca="1" si="309"/>
        <v>0</v>
      </c>
      <c r="R648" s="306">
        <f t="shared" ca="1" si="310"/>
        <v>0</v>
      </c>
      <c r="S648" s="307">
        <f t="shared" ca="1" si="311"/>
        <v>6.8519999999999914</v>
      </c>
      <c r="T648" s="304">
        <f t="shared" ca="1" si="291"/>
        <v>67.218119999999914</v>
      </c>
      <c r="U648" s="311">
        <f t="shared" ca="1" si="292"/>
        <v>0</v>
      </c>
      <c r="V648" s="306">
        <f t="shared" ca="1" si="293"/>
        <v>1.0797243309298763</v>
      </c>
      <c r="W648" s="304">
        <f t="shared" ca="1" si="294"/>
        <v>21.587769956331979</v>
      </c>
      <c r="Y648" s="314" t="str">
        <f t="shared" ca="1" si="312"/>
        <v/>
      </c>
      <c r="Z648" s="315" t="str">
        <f t="shared" ca="1" si="313"/>
        <v/>
      </c>
      <c r="AA648" s="316" t="str">
        <f t="shared" ca="1" si="314"/>
        <v/>
      </c>
      <c r="AC648" s="310" t="e">
        <f t="shared" ca="1" si="315"/>
        <v>#N/A</v>
      </c>
      <c r="AD648" s="323" t="e">
        <f t="shared" ca="1" si="316"/>
        <v>#N/A</v>
      </c>
      <c r="AE648" s="324" t="e">
        <f t="shared" ca="1" si="295"/>
        <v>#N/A</v>
      </c>
      <c r="AG648" s="306">
        <f t="shared" ca="1" si="317"/>
        <v>6.6215707180750716</v>
      </c>
      <c r="AH648" s="304">
        <f t="shared" ca="1" si="318"/>
        <v>-3.1012194284839261</v>
      </c>
    </row>
    <row r="649" spans="1:34" x14ac:dyDescent="0.2">
      <c r="A649" s="347">
        <f t="shared" ca="1" si="296"/>
        <v>0.1</v>
      </c>
      <c r="B649" s="304">
        <f t="shared" ca="1" si="297"/>
        <v>28.500000000000092</v>
      </c>
      <c r="D649" s="306">
        <f t="shared" ca="1" si="298"/>
        <v>-0.41459613002175144</v>
      </c>
      <c r="E649" s="307">
        <f t="shared" ca="1" si="299"/>
        <v>-6.6868188461696665</v>
      </c>
      <c r="F649" s="304">
        <f t="shared" ca="1" si="300"/>
        <v>6.6996594116804813</v>
      </c>
      <c r="G649" s="306">
        <f t="shared" ca="1" si="301"/>
        <v>11.694648564713203</v>
      </c>
      <c r="H649" s="307">
        <f t="shared" ca="1" si="302"/>
        <v>-89.07759172666421</v>
      </c>
      <c r="I649" s="304">
        <f t="shared" ca="1" si="303"/>
        <v>89.841984355168961</v>
      </c>
      <c r="J649" s="306">
        <f t="shared" ca="1" si="304"/>
        <v>438.30368385880996</v>
      </c>
      <c r="K649" s="307">
        <f t="shared" ca="1" si="305"/>
        <v>1251.8028597847979</v>
      </c>
      <c r="L649" s="304">
        <f t="shared" ca="1" si="290"/>
        <v>1326.318407868036</v>
      </c>
      <c r="M649" s="306">
        <f t="shared" ca="1" si="306"/>
        <v>-1.4402568167902823</v>
      </c>
      <c r="N649" s="304">
        <f t="shared" ca="1" si="307"/>
        <v>-82.520637017029813</v>
      </c>
      <c r="P649" s="310">
        <f t="shared" ca="1" si="308"/>
        <v>23</v>
      </c>
      <c r="Q649" s="304">
        <f t="shared" ca="1" si="309"/>
        <v>0</v>
      </c>
      <c r="R649" s="306">
        <f t="shared" ca="1" si="310"/>
        <v>0</v>
      </c>
      <c r="S649" s="307">
        <f t="shared" ca="1" si="311"/>
        <v>6.8519999999999914</v>
      </c>
      <c r="T649" s="304">
        <f t="shared" ca="1" si="291"/>
        <v>67.218119999999914</v>
      </c>
      <c r="U649" s="311">
        <f t="shared" ca="1" si="292"/>
        <v>0</v>
      </c>
      <c r="V649" s="306">
        <f t="shared" ca="1" si="293"/>
        <v>1.0806867374166951</v>
      </c>
      <c r="W649" s="304">
        <f t="shared" ca="1" si="294"/>
        <v>21.926777620277953</v>
      </c>
      <c r="Y649" s="314" t="str">
        <f t="shared" ca="1" si="312"/>
        <v/>
      </c>
      <c r="Z649" s="315" t="str">
        <f t="shared" ca="1" si="313"/>
        <v/>
      </c>
      <c r="AA649" s="316" t="str">
        <f t="shared" ca="1" si="314"/>
        <v/>
      </c>
      <c r="AC649" s="310" t="e">
        <f t="shared" ca="1" si="315"/>
        <v>#N/A</v>
      </c>
      <c r="AD649" s="323" t="e">
        <f t="shared" ca="1" si="316"/>
        <v>#N/A</v>
      </c>
      <c r="AE649" s="324" t="e">
        <f t="shared" ca="1" si="295"/>
        <v>#N/A</v>
      </c>
      <c r="AG649" s="306">
        <f t="shared" ca="1" si="317"/>
        <v>6.5741103801806888</v>
      </c>
      <c r="AH649" s="304">
        <f t="shared" ca="1" si="318"/>
        <v>-3.1505793865049627</v>
      </c>
    </row>
    <row r="650" spans="1:34" x14ac:dyDescent="0.2">
      <c r="A650" s="347">
        <f t="shared" ca="1" si="296"/>
        <v>0.1</v>
      </c>
      <c r="B650" s="304">
        <f t="shared" ca="1" si="297"/>
        <v>28.600000000000094</v>
      </c>
      <c r="D650" s="306">
        <f t="shared" ca="1" si="298"/>
        <v>-0.41654823386817125</v>
      </c>
      <c r="E650" s="307">
        <f t="shared" ca="1" si="299"/>
        <v>-6.6371715643571427</v>
      </c>
      <c r="F650" s="304">
        <f t="shared" ca="1" si="300"/>
        <v>6.6502299814254338</v>
      </c>
      <c r="G650" s="306">
        <f t="shared" ca="1" si="301"/>
        <v>11.652993741326386</v>
      </c>
      <c r="H650" s="307">
        <f t="shared" ca="1" si="302"/>
        <v>-89.741308883099919</v>
      </c>
      <c r="I650" s="304">
        <f t="shared" ca="1" si="303"/>
        <v>90.494722405162065</v>
      </c>
      <c r="J650" s="306">
        <f t="shared" ca="1" si="304"/>
        <v>439.47106597411192</v>
      </c>
      <c r="K650" s="307">
        <f t="shared" ca="1" si="305"/>
        <v>1242.8619147543097</v>
      </c>
      <c r="L650" s="304">
        <f t="shared" ca="1" si="290"/>
        <v>1318.2718069408793</v>
      </c>
      <c r="M650" s="306">
        <f t="shared" ca="1" si="306"/>
        <v>-1.4416679036219575</v>
      </c>
      <c r="N650" s="304">
        <f t="shared" ca="1" si="307"/>
        <v>-82.601486337011295</v>
      </c>
      <c r="P650" s="310">
        <f t="shared" ca="1" si="308"/>
        <v>23</v>
      </c>
      <c r="Q650" s="304">
        <f t="shared" ca="1" si="309"/>
        <v>0</v>
      </c>
      <c r="R650" s="306">
        <f t="shared" ca="1" si="310"/>
        <v>0</v>
      </c>
      <c r="S650" s="307">
        <f t="shared" ca="1" si="311"/>
        <v>6.8519999999999914</v>
      </c>
      <c r="T650" s="304">
        <f t="shared" ca="1" si="291"/>
        <v>67.218119999999914</v>
      </c>
      <c r="U650" s="311">
        <f t="shared" ca="1" si="292"/>
        <v>0</v>
      </c>
      <c r="V650" s="306">
        <f t="shared" ca="1" si="293"/>
        <v>1.0816571819104499</v>
      </c>
      <c r="W650" s="304">
        <f t="shared" ca="1" si="294"/>
        <v>22.266525865519259</v>
      </c>
      <c r="Y650" s="314" t="str">
        <f t="shared" ca="1" si="312"/>
        <v/>
      </c>
      <c r="Z650" s="315" t="str">
        <f t="shared" ca="1" si="313"/>
        <v/>
      </c>
      <c r="AA650" s="316" t="str">
        <f t="shared" ca="1" si="314"/>
        <v/>
      </c>
      <c r="AC650" s="310" t="e">
        <f t="shared" ca="1" si="315"/>
        <v>#N/A</v>
      </c>
      <c r="AD650" s="323" t="e">
        <f t="shared" ca="1" si="316"/>
        <v>#N/A</v>
      </c>
      <c r="AE650" s="324" t="e">
        <f t="shared" ca="1" si="295"/>
        <v>#N/A</v>
      </c>
      <c r="AG650" s="306">
        <f t="shared" ca="1" si="317"/>
        <v>6.5264795499873163</v>
      </c>
      <c r="AH650" s="304">
        <f t="shared" ca="1" si="318"/>
        <v>-3.2000551109570901</v>
      </c>
    </row>
    <row r="651" spans="1:34" x14ac:dyDescent="0.2">
      <c r="A651" s="347">
        <f t="shared" ca="1" si="296"/>
        <v>0.1</v>
      </c>
      <c r="B651" s="304">
        <f t="shared" ca="1" si="297"/>
        <v>28.700000000000095</v>
      </c>
      <c r="D651" s="306">
        <f t="shared" ca="1" si="298"/>
        <v>-0.41845558465203614</v>
      </c>
      <c r="E651" s="307">
        <f t="shared" ca="1" si="299"/>
        <v>-6.5874159405115957</v>
      </c>
      <c r="F651" s="304">
        <f t="shared" ca="1" si="300"/>
        <v>6.6006934370286237</v>
      </c>
      <c r="G651" s="306">
        <f t="shared" ca="1" si="301"/>
        <v>11.611148182861182</v>
      </c>
      <c r="H651" s="307">
        <f t="shared" ca="1" si="302"/>
        <v>-90.400050477151083</v>
      </c>
      <c r="I651" s="304">
        <f t="shared" ca="1" si="303"/>
        <v>91.142678742704419</v>
      </c>
      <c r="J651" s="306">
        <f t="shared" ca="1" si="304"/>
        <v>440.63427307032129</v>
      </c>
      <c r="K651" s="307">
        <f t="shared" ca="1" si="305"/>
        <v>1233.8548467862972</v>
      </c>
      <c r="L651" s="304">
        <f t="shared" ca="1" si="290"/>
        <v>1310.1741661100814</v>
      </c>
      <c r="M651" s="306">
        <f t="shared" ca="1" si="306"/>
        <v>-1.4430538984792221</v>
      </c>
      <c r="N651" s="304">
        <f t="shared" ca="1" si="307"/>
        <v>-82.680897992759384</v>
      </c>
      <c r="P651" s="310">
        <f t="shared" ca="1" si="308"/>
        <v>23</v>
      </c>
      <c r="Q651" s="304">
        <f t="shared" ca="1" si="309"/>
        <v>0</v>
      </c>
      <c r="R651" s="306">
        <f t="shared" ca="1" si="310"/>
        <v>0</v>
      </c>
      <c r="S651" s="307">
        <f t="shared" ca="1" si="311"/>
        <v>6.8519999999999914</v>
      </c>
      <c r="T651" s="304">
        <f t="shared" ca="1" si="291"/>
        <v>67.218119999999914</v>
      </c>
      <c r="U651" s="311">
        <f t="shared" ca="1" si="292"/>
        <v>0</v>
      </c>
      <c r="V651" s="306">
        <f t="shared" ca="1" si="293"/>
        <v>1.0826356296848312</v>
      </c>
      <c r="W651" s="304">
        <f t="shared" ca="1" si="294"/>
        <v>22.606962396252012</v>
      </c>
      <c r="Y651" s="314" t="str">
        <f t="shared" ca="1" si="312"/>
        <v/>
      </c>
      <c r="Z651" s="315" t="str">
        <f t="shared" ca="1" si="313"/>
        <v/>
      </c>
      <c r="AA651" s="316" t="str">
        <f t="shared" ca="1" si="314"/>
        <v/>
      </c>
      <c r="AC651" s="310" t="e">
        <f t="shared" ca="1" si="315"/>
        <v>#N/A</v>
      </c>
      <c r="AD651" s="323" t="e">
        <f t="shared" ca="1" si="316"/>
        <v>#N/A</v>
      </c>
      <c r="AE651" s="324" t="e">
        <f t="shared" ca="1" si="295"/>
        <v>#N/A</v>
      </c>
      <c r="AG651" s="306">
        <f t="shared" ca="1" si="317"/>
        <v>6.4786879584537038</v>
      </c>
      <c r="AH651" s="304">
        <f t="shared" ca="1" si="318"/>
        <v>-3.2496389179099952</v>
      </c>
    </row>
    <row r="652" spans="1:34" x14ac:dyDescent="0.2">
      <c r="A652" s="347">
        <f t="shared" ca="1" si="296"/>
        <v>0.1</v>
      </c>
      <c r="B652" s="304">
        <f t="shared" ca="1" si="297"/>
        <v>28.800000000000097</v>
      </c>
      <c r="D652" s="306">
        <f t="shared" ca="1" si="298"/>
        <v>-0.42031823969285886</v>
      </c>
      <c r="E652" s="307">
        <f t="shared" ca="1" si="299"/>
        <v>-6.5375596274976964</v>
      </c>
      <c r="F652" s="304">
        <f t="shared" ca="1" si="300"/>
        <v>6.5510574188985942</v>
      </c>
      <c r="G652" s="306">
        <f t="shared" ca="1" si="301"/>
        <v>11.569116358891897</v>
      </c>
      <c r="H652" s="307">
        <f t="shared" ca="1" si="302"/>
        <v>-91.053806439900853</v>
      </c>
      <c r="I652" s="304">
        <f t="shared" ca="1" si="303"/>
        <v>91.785838344052351</v>
      </c>
      <c r="J652" s="306">
        <f t="shared" ca="1" si="304"/>
        <v>441.79328629740894</v>
      </c>
      <c r="K652" s="307">
        <f t="shared" ca="1" si="305"/>
        <v>1224.7821539404447</v>
      </c>
      <c r="L652" s="304">
        <f t="shared" ca="1" si="290"/>
        <v>1302.0263562725831</v>
      </c>
      <c r="M652" s="306">
        <f t="shared" ca="1" si="306"/>
        <v>-1.4444154900105353</v>
      </c>
      <c r="N652" s="304">
        <f t="shared" ca="1" si="307"/>
        <v>-82.758911440924393</v>
      </c>
      <c r="P652" s="310">
        <f t="shared" ca="1" si="308"/>
        <v>23</v>
      </c>
      <c r="Q652" s="304">
        <f t="shared" ca="1" si="309"/>
        <v>0</v>
      </c>
      <c r="R652" s="306">
        <f t="shared" ca="1" si="310"/>
        <v>0</v>
      </c>
      <c r="S652" s="307">
        <f t="shared" ca="1" si="311"/>
        <v>6.8519999999999914</v>
      </c>
      <c r="T652" s="304">
        <f t="shared" ca="1" si="291"/>
        <v>67.218119999999914</v>
      </c>
      <c r="U652" s="311">
        <f t="shared" ca="1" si="292"/>
        <v>0</v>
      </c>
      <c r="V652" s="306">
        <f t="shared" ca="1" si="293"/>
        <v>1.0836220458994443</v>
      </c>
      <c r="W652" s="304">
        <f t="shared" ca="1" si="294"/>
        <v>22.948035283666417</v>
      </c>
      <c r="Y652" s="314" t="str">
        <f t="shared" ca="1" si="312"/>
        <v/>
      </c>
      <c r="Z652" s="315" t="str">
        <f t="shared" ca="1" si="313"/>
        <v/>
      </c>
      <c r="AA652" s="316" t="str">
        <f t="shared" ca="1" si="314"/>
        <v/>
      </c>
      <c r="AC652" s="310" t="e">
        <f t="shared" ca="1" si="315"/>
        <v>#N/A</v>
      </c>
      <c r="AD652" s="323" t="e">
        <f t="shared" ca="1" si="316"/>
        <v>#N/A</v>
      </c>
      <c r="AE652" s="324" t="e">
        <f t="shared" ca="1" si="295"/>
        <v>#N/A</v>
      </c>
      <c r="AG652" s="306">
        <f t="shared" ca="1" si="317"/>
        <v>6.4307451903267623</v>
      </c>
      <c r="AH652" s="304">
        <f t="shared" ca="1" si="318"/>
        <v>-3.2993231751681318</v>
      </c>
    </row>
    <row r="653" spans="1:34" x14ac:dyDescent="0.2">
      <c r="A653" s="347">
        <f t="shared" ca="1" si="296"/>
        <v>0.1</v>
      </c>
      <c r="B653" s="304">
        <f t="shared" ca="1" si="297"/>
        <v>28.900000000000098</v>
      </c>
      <c r="D653" s="306">
        <f t="shared" ca="1" si="298"/>
        <v>-0.42213626649517522</v>
      </c>
      <c r="E653" s="307">
        <f t="shared" ca="1" si="299"/>
        <v>-6.4876102246415952</v>
      </c>
      <c r="F653" s="304">
        <f t="shared" ca="1" si="300"/>
        <v>6.501329514365862</v>
      </c>
      <c r="G653" s="306">
        <f t="shared" ca="1" si="301"/>
        <v>11.526902732242378</v>
      </c>
      <c r="H653" s="307">
        <f t="shared" ca="1" si="302"/>
        <v>-91.70256746236501</v>
      </c>
      <c r="I653" s="304">
        <f t="shared" ca="1" si="303"/>
        <v>92.424187125385004</v>
      </c>
      <c r="J653" s="306">
        <f t="shared" ca="1" si="304"/>
        <v>442.94808725196566</v>
      </c>
      <c r="K653" s="307">
        <f t="shared" ca="1" si="305"/>
        <v>1215.6443352453314</v>
      </c>
      <c r="L653" s="304">
        <f t="shared" ca="1" si="290"/>
        <v>1293.8292614615882</v>
      </c>
      <c r="M653" s="306">
        <f t="shared" ca="1" si="306"/>
        <v>-1.4457533418109456</v>
      </c>
      <c r="N653" s="304">
        <f t="shared" ca="1" si="307"/>
        <v>-82.835564702701888</v>
      </c>
      <c r="P653" s="310">
        <f t="shared" ca="1" si="308"/>
        <v>23</v>
      </c>
      <c r="Q653" s="304">
        <f t="shared" ca="1" si="309"/>
        <v>0</v>
      </c>
      <c r="R653" s="306">
        <f t="shared" ca="1" si="310"/>
        <v>0</v>
      </c>
      <c r="S653" s="307">
        <f t="shared" ca="1" si="311"/>
        <v>6.8519999999999914</v>
      </c>
      <c r="T653" s="304">
        <f t="shared" ca="1" si="291"/>
        <v>67.218119999999914</v>
      </c>
      <c r="U653" s="311">
        <f t="shared" ca="1" si="292"/>
        <v>0</v>
      </c>
      <c r="V653" s="306">
        <f t="shared" ca="1" si="293"/>
        <v>1.0846163956046722</v>
      </c>
      <c r="W653" s="304">
        <f t="shared" ca="1" si="294"/>
        <v>23.289692978140152</v>
      </c>
      <c r="Y653" s="314" t="str">
        <f t="shared" ca="1" si="312"/>
        <v/>
      </c>
      <c r="Z653" s="315" t="str">
        <f t="shared" ca="1" si="313"/>
        <v/>
      </c>
      <c r="AA653" s="316" t="str">
        <f t="shared" ca="1" si="314"/>
        <v/>
      </c>
      <c r="AC653" s="310" t="e">
        <f t="shared" ca="1" si="315"/>
        <v>#N/A</v>
      </c>
      <c r="AD653" s="323" t="e">
        <f t="shared" ca="1" si="316"/>
        <v>#N/A</v>
      </c>
      <c r="AE653" s="324" t="e">
        <f t="shared" ca="1" si="295"/>
        <v>#N/A</v>
      </c>
      <c r="AG653" s="306">
        <f t="shared" ca="1" si="317"/>
        <v>6.3826606874763971</v>
      </c>
      <c r="AH653" s="304">
        <f t="shared" ca="1" si="318"/>
        <v>-3.3491003040960954</v>
      </c>
    </row>
    <row r="654" spans="1:34" x14ac:dyDescent="0.2">
      <c r="A654" s="347">
        <f t="shared" ca="1" si="296"/>
        <v>0.1</v>
      </c>
      <c r="B654" s="304">
        <f t="shared" ca="1" si="297"/>
        <v>29.000000000000099</v>
      </c>
      <c r="D654" s="306">
        <f t="shared" ca="1" si="298"/>
        <v>-0.4239097425713535</v>
      </c>
      <c r="E654" s="307">
        <f t="shared" ca="1" si="299"/>
        <v>-6.4375752759352824</v>
      </c>
      <c r="F654" s="304">
        <f t="shared" ca="1" si="300"/>
        <v>6.4515172559003622</v>
      </c>
      <c r="G654" s="306">
        <f t="shared" ca="1" si="301"/>
        <v>11.484511757985244</v>
      </c>
      <c r="H654" s="307">
        <f t="shared" ca="1" si="302"/>
        <v>-92.346324989958532</v>
      </c>
      <c r="I654" s="304">
        <f t="shared" ca="1" si="303"/>
        <v>93.057711929051536</v>
      </c>
      <c r="J654" s="306">
        <f t="shared" ca="1" si="304"/>
        <v>444.09865797647706</v>
      </c>
      <c r="K654" s="307">
        <f t="shared" ca="1" si="305"/>
        <v>1206.4418906227152</v>
      </c>
      <c r="L654" s="304">
        <f t="shared" ca="1" si="290"/>
        <v>1285.5837792480968</v>
      </c>
      <c r="M654" s="306">
        <f t="shared" ca="1" si="306"/>
        <v>-1.4470680935419724</v>
      </c>
      <c r="N654" s="304">
        <f t="shared" ca="1" si="307"/>
        <v>-82.910894427997235</v>
      </c>
      <c r="P654" s="310">
        <f t="shared" ca="1" si="308"/>
        <v>23</v>
      </c>
      <c r="Q654" s="304">
        <f t="shared" ca="1" si="309"/>
        <v>0</v>
      </c>
      <c r="R654" s="306">
        <f t="shared" ca="1" si="310"/>
        <v>0</v>
      </c>
      <c r="S654" s="307">
        <f t="shared" ca="1" si="311"/>
        <v>6.8519999999999914</v>
      </c>
      <c r="T654" s="304">
        <f t="shared" ca="1" si="291"/>
        <v>67.218119999999914</v>
      </c>
      <c r="U654" s="311">
        <f t="shared" ca="1" si="292"/>
        <v>0</v>
      </c>
      <c r="V654" s="306">
        <f t="shared" ca="1" si="293"/>
        <v>1.0856186437465178</v>
      </c>
      <c r="W654" s="304">
        <f t="shared" ca="1" si="294"/>
        <v>23.631884321115294</v>
      </c>
      <c r="Y654" s="314" t="str">
        <f t="shared" ca="1" si="312"/>
        <v/>
      </c>
      <c r="Z654" s="315" t="str">
        <f t="shared" ca="1" si="313"/>
        <v/>
      </c>
      <c r="AA654" s="316" t="str">
        <f t="shared" ca="1" si="314"/>
        <v/>
      </c>
      <c r="AC654" s="310">
        <f t="shared" ca="1" si="315"/>
        <v>29.000000000000099</v>
      </c>
      <c r="AD654" s="323">
        <f t="shared" ca="1" si="316"/>
        <v>444.09865797647706</v>
      </c>
      <c r="AE654" s="324" t="e">
        <f t="shared" ca="1" si="295"/>
        <v>#N/A</v>
      </c>
      <c r="AG654" s="306">
        <f t="shared" ca="1" si="317"/>
        <v>6.3344437519520085</v>
      </c>
      <c r="AH654" s="304">
        <f t="shared" ca="1" si="318"/>
        <v>-3.3989627813981582</v>
      </c>
    </row>
    <row r="655" spans="1:34" x14ac:dyDescent="0.2">
      <c r="A655" s="347">
        <f t="shared" ca="1" si="296"/>
        <v>0.1</v>
      </c>
      <c r="B655" s="304">
        <f t="shared" ca="1" si="297"/>
        <v>29.100000000000101</v>
      </c>
      <c r="D655" s="306">
        <f t="shared" ca="1" si="298"/>
        <v>-0.42563875526470174</v>
      </c>
      <c r="E655" s="307">
        <f t="shared" ca="1" si="299"/>
        <v>-6.3874622682879147</v>
      </c>
      <c r="F655" s="304">
        <f t="shared" ca="1" si="300"/>
        <v>6.4016281193759665</v>
      </c>
      <c r="G655" s="306">
        <f t="shared" ca="1" si="301"/>
        <v>11.441947882458773</v>
      </c>
      <c r="H655" s="307">
        <f t="shared" ca="1" si="302"/>
        <v>-92.985071216787318</v>
      </c>
      <c r="I655" s="304">
        <f t="shared" ca="1" si="303"/>
        <v>93.686400510084241</v>
      </c>
      <c r="J655" s="306">
        <f t="shared" ca="1" si="304"/>
        <v>445.24498095849924</v>
      </c>
      <c r="K655" s="307">
        <f t="shared" ca="1" si="305"/>
        <v>1197.1753208123778</v>
      </c>
      <c r="L655" s="304">
        <f t="shared" ca="1" si="290"/>
        <v>1277.2908211644497</v>
      </c>
      <c r="M655" s="306">
        <f t="shared" ca="1" si="306"/>
        <v>-1.4483603619923546</v>
      </c>
      <c r="N655" s="304">
        <f t="shared" ca="1" si="307"/>
        <v>-82.984935956202051</v>
      </c>
      <c r="P655" s="310">
        <f t="shared" ca="1" si="308"/>
        <v>23</v>
      </c>
      <c r="Q655" s="304">
        <f t="shared" ca="1" si="309"/>
        <v>0</v>
      </c>
      <c r="R655" s="306">
        <f t="shared" ca="1" si="310"/>
        <v>0</v>
      </c>
      <c r="S655" s="307">
        <f t="shared" ca="1" si="311"/>
        <v>6.8519999999999914</v>
      </c>
      <c r="T655" s="304">
        <f t="shared" ca="1" si="291"/>
        <v>67.218119999999914</v>
      </c>
      <c r="U655" s="311">
        <f t="shared" ca="1" si="292"/>
        <v>0</v>
      </c>
      <c r="V655" s="306">
        <f t="shared" ca="1" si="293"/>
        <v>1.0866287551714267</v>
      </c>
      <c r="W655" s="304">
        <f t="shared" ca="1" si="294"/>
        <v>23.974558556656682</v>
      </c>
      <c r="Y655" s="314" t="str">
        <f t="shared" ca="1" si="312"/>
        <v/>
      </c>
      <c r="Z655" s="315" t="str">
        <f t="shared" ca="1" si="313"/>
        <v/>
      </c>
      <c r="AA655" s="316" t="str">
        <f t="shared" ca="1" si="314"/>
        <v/>
      </c>
      <c r="AC655" s="310" t="e">
        <f t="shared" ca="1" si="315"/>
        <v>#N/A</v>
      </c>
      <c r="AD655" s="323" t="e">
        <f t="shared" ca="1" si="316"/>
        <v>#N/A</v>
      </c>
      <c r="AE655" s="324" t="e">
        <f t="shared" ca="1" si="295"/>
        <v>#N/A</v>
      </c>
      <c r="AG655" s="306">
        <f t="shared" ca="1" si="317"/>
        <v>6.2861035487839096</v>
      </c>
      <c r="AH655" s="304">
        <f t="shared" ca="1" si="318"/>
        <v>-3.4489031408516233</v>
      </c>
    </row>
    <row r="656" spans="1:34" x14ac:dyDescent="0.2">
      <c r="A656" s="347">
        <f t="shared" ca="1" si="296"/>
        <v>0.1</v>
      </c>
      <c r="B656" s="304">
        <f t="shared" ca="1" si="297"/>
        <v>29.200000000000102</v>
      </c>
      <c r="D656" s="306">
        <f t="shared" ca="1" si="298"/>
        <v>-0.42732340157283738</v>
      </c>
      <c r="E656" s="307">
        <f t="shared" ca="1" si="299"/>
        <v>-6.3372786298243984</v>
      </c>
      <c r="F656" s="304">
        <f t="shared" ca="1" si="300"/>
        <v>6.3516695223823465</v>
      </c>
      <c r="G656" s="306">
        <f t="shared" ca="1" si="301"/>
        <v>11.399215542301489</v>
      </c>
      <c r="H656" s="307">
        <f t="shared" ca="1" si="302"/>
        <v>-93.618799079769758</v>
      </c>
      <c r="I656" s="304">
        <f t="shared" ca="1" si="303"/>
        <v>94.310241522955209</v>
      </c>
      <c r="J656" s="306">
        <f t="shared" ca="1" si="304"/>
        <v>446.38703912973727</v>
      </c>
      <c r="K656" s="307">
        <f t="shared" ca="1" si="305"/>
        <v>1187.8451272975499</v>
      </c>
      <c r="L656" s="304">
        <f t="shared" ca="1" si="290"/>
        <v>1268.95131315096</v>
      </c>
      <c r="M656" s="306">
        <f t="shared" ca="1" si="306"/>
        <v>-1.4496307420832564</v>
      </c>
      <c r="N656" s="304">
        <f t="shared" ca="1" si="307"/>
        <v>-83.057723373788164</v>
      </c>
      <c r="P656" s="310">
        <f t="shared" ca="1" si="308"/>
        <v>23</v>
      </c>
      <c r="Q656" s="304">
        <f t="shared" ca="1" si="309"/>
        <v>0</v>
      </c>
      <c r="R656" s="306">
        <f t="shared" ca="1" si="310"/>
        <v>0</v>
      </c>
      <c r="S656" s="307">
        <f t="shared" ca="1" si="311"/>
        <v>6.8519999999999914</v>
      </c>
      <c r="T656" s="304">
        <f t="shared" ca="1" si="291"/>
        <v>67.218119999999914</v>
      </c>
      <c r="U656" s="311">
        <f t="shared" ca="1" si="292"/>
        <v>0</v>
      </c>
      <c r="V656" s="306">
        <f t="shared" ca="1" si="293"/>
        <v>1.0876466946310841</v>
      </c>
      <c r="W656" s="304">
        <f t="shared" ca="1" si="294"/>
        <v>24.317665342689786</v>
      </c>
      <c r="Y656" s="314" t="str">
        <f t="shared" ca="1" si="312"/>
        <v/>
      </c>
      <c r="Z656" s="315" t="str">
        <f t="shared" ca="1" si="313"/>
        <v/>
      </c>
      <c r="AA656" s="316" t="str">
        <f t="shared" ca="1" si="314"/>
        <v/>
      </c>
      <c r="AC656" s="310" t="e">
        <f t="shared" ca="1" si="315"/>
        <v>#N/A</v>
      </c>
      <c r="AD656" s="323" t="e">
        <f t="shared" ca="1" si="316"/>
        <v>#N/A</v>
      </c>
      <c r="AE656" s="324" t="e">
        <f t="shared" ca="1" si="295"/>
        <v>#N/A</v>
      </c>
      <c r="AG656" s="306">
        <f t="shared" ca="1" si="317"/>
        <v>6.2376491085511674</v>
      </c>
      <c r="AH656" s="304">
        <f t="shared" ca="1" si="318"/>
        <v>-3.4989139749936822</v>
      </c>
    </row>
    <row r="657" spans="1:34" x14ac:dyDescent="0.2">
      <c r="A657" s="347">
        <f t="shared" ca="1" si="296"/>
        <v>0.1</v>
      </c>
      <c r="B657" s="304">
        <f t="shared" ca="1" si="297"/>
        <v>29.300000000000104</v>
      </c>
      <c r="D657" s="306">
        <f t="shared" ca="1" si="298"/>
        <v>-0.42896378797126983</v>
      </c>
      <c r="E657" s="307">
        <f t="shared" ca="1" si="299"/>
        <v>-6.2870317282314332</v>
      </c>
      <c r="F657" s="304">
        <f t="shared" ca="1" si="300"/>
        <v>6.3016488225844025</v>
      </c>
      <c r="G657" s="306">
        <f t="shared" ca="1" si="301"/>
        <v>11.356319163504361</v>
      </c>
      <c r="H657" s="307">
        <f t="shared" ca="1" si="302"/>
        <v>-94.247502252592895</v>
      </c>
      <c r="I657" s="304">
        <f t="shared" ca="1" si="303"/>
        <v>94.92922450855626</v>
      </c>
      <c r="J657" s="306">
        <f t="shared" ca="1" si="304"/>
        <v>447.52481586502756</v>
      </c>
      <c r="K657" s="307">
        <f t="shared" ca="1" si="305"/>
        <v>1178.4518122309316</v>
      </c>
      <c r="L657" s="304">
        <f t="shared" ca="1" si="290"/>
        <v>1260.5661960267671</v>
      </c>
      <c r="M657" s="306">
        <f t="shared" ca="1" si="306"/>
        <v>-1.4508798078212681</v>
      </c>
      <c r="N657" s="304">
        <f t="shared" ca="1" si="307"/>
        <v>-83.129289568910636</v>
      </c>
      <c r="P657" s="310">
        <f t="shared" ca="1" si="308"/>
        <v>23</v>
      </c>
      <c r="Q657" s="304">
        <f t="shared" ca="1" si="309"/>
        <v>0</v>
      </c>
      <c r="R657" s="306">
        <f t="shared" ca="1" si="310"/>
        <v>0</v>
      </c>
      <c r="S657" s="307">
        <f t="shared" ca="1" si="311"/>
        <v>6.8519999999999914</v>
      </c>
      <c r="T657" s="304">
        <f t="shared" ca="1" si="291"/>
        <v>67.218119999999914</v>
      </c>
      <c r="U657" s="311">
        <f t="shared" ca="1" si="292"/>
        <v>0</v>
      </c>
      <c r="V657" s="306">
        <f t="shared" ca="1" si="293"/>
        <v>1.0886724267871948</v>
      </c>
      <c r="W657" s="304">
        <f t="shared" ca="1" si="294"/>
        <v>24.661154761916741</v>
      </c>
      <c r="Y657" s="314" t="str">
        <f t="shared" ca="1" si="312"/>
        <v/>
      </c>
      <c r="Z657" s="315" t="str">
        <f t="shared" ca="1" si="313"/>
        <v/>
      </c>
      <c r="AA657" s="316" t="str">
        <f t="shared" ca="1" si="314"/>
        <v/>
      </c>
      <c r="AC657" s="310" t="e">
        <f t="shared" ca="1" si="315"/>
        <v>#N/A</v>
      </c>
      <c r="AD657" s="323" t="e">
        <f t="shared" ca="1" si="316"/>
        <v>#N/A</v>
      </c>
      <c r="AE657" s="324" t="e">
        <f t="shared" ca="1" si="295"/>
        <v>#N/A</v>
      </c>
      <c r="AG657" s="306">
        <f t="shared" ca="1" si="317"/>
        <v>6.1890893297355998</v>
      </c>
      <c r="AH657" s="304">
        <f t="shared" ca="1" si="318"/>
        <v>-3.5489879367615025</v>
      </c>
    </row>
    <row r="658" spans="1:34" x14ac:dyDescent="0.2">
      <c r="A658" s="347">
        <f t="shared" ca="1" si="296"/>
        <v>0.1</v>
      </c>
      <c r="B658" s="304">
        <f t="shared" ca="1" si="297"/>
        <v>29.400000000000105</v>
      </c>
      <c r="D658" s="306">
        <f t="shared" ca="1" si="298"/>
        <v>-0.43056003023717937</v>
      </c>
      <c r="E658" s="307">
        <f t="shared" ca="1" si="299"/>
        <v>-6.2367288691512055</v>
      </c>
      <c r="F658" s="304">
        <f t="shared" ca="1" si="300"/>
        <v>6.2515733161294618</v>
      </c>
      <c r="G658" s="306">
        <f t="shared" ca="1" si="301"/>
        <v>11.313263160480643</v>
      </c>
      <c r="H658" s="307">
        <f t="shared" ca="1" si="302"/>
        <v>-94.871175139508011</v>
      </c>
      <c r="I658" s="304">
        <f t="shared" ca="1" si="303"/>
        <v>95.543339881383105</v>
      </c>
      <c r="J658" s="306">
        <f t="shared" ca="1" si="304"/>
        <v>448.65829498122679</v>
      </c>
      <c r="K658" s="307">
        <f t="shared" ca="1" si="305"/>
        <v>1168.9958783613265</v>
      </c>
      <c r="L658" s="304">
        <f t="shared" ca="1" si="290"/>
        <v>1252.1364259860948</v>
      </c>
      <c r="M658" s="306">
        <f t="shared" ca="1" si="306"/>
        <v>-1.4521081132023235</v>
      </c>
      <c r="N658" s="304">
        <f t="shared" ca="1" si="307"/>
        <v>-83.199666283198312</v>
      </c>
      <c r="P658" s="310">
        <f t="shared" ca="1" si="308"/>
        <v>23</v>
      </c>
      <c r="Q658" s="304">
        <f t="shared" ca="1" si="309"/>
        <v>0</v>
      </c>
      <c r="R658" s="306">
        <f t="shared" ca="1" si="310"/>
        <v>0</v>
      </c>
      <c r="S658" s="307">
        <f t="shared" ca="1" si="311"/>
        <v>6.8519999999999914</v>
      </c>
      <c r="T658" s="304">
        <f t="shared" ca="1" si="291"/>
        <v>67.218119999999914</v>
      </c>
      <c r="U658" s="311">
        <f t="shared" ca="1" si="292"/>
        <v>0</v>
      </c>
      <c r="V658" s="306">
        <f t="shared" ca="1" si="293"/>
        <v>1.0897059162162326</v>
      </c>
      <c r="W658" s="304">
        <f t="shared" ca="1" si="294"/>
        <v>25.004977332408849</v>
      </c>
      <c r="Y658" s="314" t="str">
        <f t="shared" ca="1" si="312"/>
        <v/>
      </c>
      <c r="Z658" s="315" t="str">
        <f t="shared" ca="1" si="313"/>
        <v/>
      </c>
      <c r="AA658" s="316" t="str">
        <f t="shared" ca="1" si="314"/>
        <v/>
      </c>
      <c r="AC658" s="310" t="e">
        <f t="shared" ca="1" si="315"/>
        <v>#N/A</v>
      </c>
      <c r="AD658" s="323" t="e">
        <f t="shared" ca="1" si="316"/>
        <v>#N/A</v>
      </c>
      <c r="AE658" s="324" t="e">
        <f t="shared" ca="1" si="295"/>
        <v>#N/A</v>
      </c>
      <c r="AG658" s="306">
        <f t="shared" ca="1" si="317"/>
        <v>6.1404329808801794</v>
      </c>
      <c r="AH658" s="304">
        <f t="shared" ca="1" si="318"/>
        <v>-3.5991177410853434</v>
      </c>
    </row>
    <row r="659" spans="1:34" x14ac:dyDescent="0.2">
      <c r="A659" s="347">
        <f t="shared" ca="1" si="296"/>
        <v>0.1</v>
      </c>
      <c r="B659" s="304">
        <f t="shared" ca="1" si="297"/>
        <v>29.500000000000107</v>
      </c>
      <c r="D659" s="306">
        <f t="shared" ca="1" si="298"/>
        <v>-0.43211225327335212</v>
      </c>
      <c r="E659" s="307">
        <f t="shared" ca="1" si="299"/>
        <v>-6.1863772946229307</v>
      </c>
      <c r="F659" s="304">
        <f t="shared" ca="1" si="300"/>
        <v>6.2014502361024482</v>
      </c>
      <c r="G659" s="306">
        <f t="shared" ca="1" si="301"/>
        <v>11.270051935153308</v>
      </c>
      <c r="H659" s="307">
        <f t="shared" ca="1" si="302"/>
        <v>-95.489812868970304</v>
      </c>
      <c r="I659" s="304">
        <f t="shared" ca="1" si="303"/>
        <v>96.152578916906961</v>
      </c>
      <c r="J659" s="306">
        <f t="shared" ca="1" si="304"/>
        <v>449.78746073600848</v>
      </c>
      <c r="K659" s="307">
        <f t="shared" ca="1" si="305"/>
        <v>1159.4778289609026</v>
      </c>
      <c r="L659" s="304">
        <f t="shared" ca="1" si="290"/>
        <v>1243.6629751211678</v>
      </c>
      <c r="M659" s="306">
        <f t="shared" ca="1" si="306"/>
        <v>-1.4533161930694358</v>
      </c>
      <c r="N659" s="304">
        <f t="shared" ca="1" si="307"/>
        <v>-83.26888416089858</v>
      </c>
      <c r="P659" s="310">
        <f t="shared" ca="1" si="308"/>
        <v>23</v>
      </c>
      <c r="Q659" s="304">
        <f t="shared" ca="1" si="309"/>
        <v>0</v>
      </c>
      <c r="R659" s="306">
        <f t="shared" ca="1" si="310"/>
        <v>0</v>
      </c>
      <c r="S659" s="307">
        <f t="shared" ca="1" si="311"/>
        <v>6.8519999999999914</v>
      </c>
      <c r="T659" s="304">
        <f t="shared" ca="1" si="291"/>
        <v>67.218119999999914</v>
      </c>
      <c r="U659" s="311">
        <f t="shared" ca="1" si="292"/>
        <v>0</v>
      </c>
      <c r="V659" s="306">
        <f t="shared" ca="1" si="293"/>
        <v>1.0907471274141689</v>
      </c>
      <c r="W659" s="304">
        <f t="shared" ca="1" si="294"/>
        <v>25.349084017874745</v>
      </c>
      <c r="Y659" s="314" t="str">
        <f t="shared" ca="1" si="312"/>
        <v/>
      </c>
      <c r="Z659" s="315" t="str">
        <f t="shared" ca="1" si="313"/>
        <v/>
      </c>
      <c r="AA659" s="316" t="str">
        <f t="shared" ca="1" si="314"/>
        <v/>
      </c>
      <c r="AC659" s="310" t="e">
        <f t="shared" ca="1" si="315"/>
        <v>#N/A</v>
      </c>
      <c r="AD659" s="323" t="e">
        <f t="shared" ca="1" si="316"/>
        <v>#N/A</v>
      </c>
      <c r="AE659" s="324" t="e">
        <f t="shared" ca="1" si="295"/>
        <v>#N/A</v>
      </c>
      <c r="AG659" s="306">
        <f t="shared" ca="1" si="317"/>
        <v>6.091688702568649</v>
      </c>
      <c r="AH659" s="304">
        <f t="shared" ca="1" si="318"/>
        <v>-3.6492961664344543</v>
      </c>
    </row>
    <row r="660" spans="1:34" x14ac:dyDescent="0.2">
      <c r="A660" s="347">
        <f t="shared" ca="1" si="296"/>
        <v>0.1</v>
      </c>
      <c r="B660" s="304">
        <f t="shared" ca="1" si="297"/>
        <v>29.600000000000108</v>
      </c>
      <c r="D660" s="306">
        <f t="shared" ca="1" si="298"/>
        <v>-0.43362059093226923</v>
      </c>
      <c r="E660" s="307">
        <f t="shared" ca="1" si="299"/>
        <v>-6.1359841815723239</v>
      </c>
      <c r="F660" s="304">
        <f t="shared" ca="1" si="300"/>
        <v>6.1512867510291072</v>
      </c>
      <c r="G660" s="306">
        <f t="shared" ca="1" si="301"/>
        <v>11.226689876060082</v>
      </c>
      <c r="H660" s="307">
        <f t="shared" ca="1" si="302"/>
        <v>-96.103411287127543</v>
      </c>
      <c r="I660" s="304">
        <f t="shared" ca="1" si="303"/>
        <v>96.756933739117756</v>
      </c>
      <c r="J660" s="306">
        <f t="shared" ca="1" si="304"/>
        <v>450.91229782656916</v>
      </c>
      <c r="K660" s="307">
        <f t="shared" ca="1" si="305"/>
        <v>1149.8981677530976</v>
      </c>
      <c r="L660" s="304">
        <f t="shared" ca="1" si="290"/>
        <v>1235.146831973093</v>
      </c>
      <c r="M660" s="306">
        <f t="shared" ca="1" si="306"/>
        <v>-1.4545045639269649</v>
      </c>
      <c r="N660" s="304">
        <f t="shared" ca="1" si="307"/>
        <v>-83.336972795531338</v>
      </c>
      <c r="P660" s="310">
        <f t="shared" ca="1" si="308"/>
        <v>23</v>
      </c>
      <c r="Q660" s="304">
        <f t="shared" ca="1" si="309"/>
        <v>0</v>
      </c>
      <c r="R660" s="306">
        <f t="shared" ca="1" si="310"/>
        <v>0</v>
      </c>
      <c r="S660" s="307">
        <f t="shared" ca="1" si="311"/>
        <v>6.8519999999999914</v>
      </c>
      <c r="T660" s="304">
        <f t="shared" ca="1" si="291"/>
        <v>67.218119999999914</v>
      </c>
      <c r="U660" s="311">
        <f t="shared" ca="1" si="292"/>
        <v>0</v>
      </c>
      <c r="V660" s="306">
        <f t="shared" ca="1" si="293"/>
        <v>1.0917960248011735</v>
      </c>
      <c r="W660" s="304">
        <f t="shared" ca="1" si="294"/>
        <v>25.693426237603198</v>
      </c>
      <c r="Y660" s="314" t="str">
        <f t="shared" ca="1" si="312"/>
        <v/>
      </c>
      <c r="Z660" s="315" t="str">
        <f t="shared" ca="1" si="313"/>
        <v/>
      </c>
      <c r="AA660" s="316" t="str">
        <f t="shared" ca="1" si="314"/>
        <v/>
      </c>
      <c r="AC660" s="310" t="e">
        <f t="shared" ca="1" si="315"/>
        <v>#N/A</v>
      </c>
      <c r="AD660" s="323" t="e">
        <f t="shared" ca="1" si="316"/>
        <v>#N/A</v>
      </c>
      <c r="AE660" s="324" t="e">
        <f t="shared" ca="1" si="295"/>
        <v>#N/A</v>
      </c>
      <c r="AG660" s="306">
        <f t="shared" ca="1" si="317"/>
        <v>6.0428650092418703</v>
      </c>
      <c r="AH660" s="304">
        <f t="shared" ca="1" si="318"/>
        <v>-3.6995160563156415</v>
      </c>
    </row>
    <row r="661" spans="1:34" x14ac:dyDescent="0.2">
      <c r="A661" s="347">
        <f t="shared" ca="1" si="296"/>
        <v>0.1</v>
      </c>
      <c r="B661" s="304">
        <f t="shared" ca="1" si="297"/>
        <v>29.700000000000109</v>
      </c>
      <c r="D661" s="306">
        <f t="shared" ca="1" si="298"/>
        <v>-0.43508518584035155</v>
      </c>
      <c r="E661" s="307">
        <f t="shared" ca="1" si="299"/>
        <v>-6.0855566403491324</v>
      </c>
      <c r="F661" s="304">
        <f t="shared" ca="1" si="300"/>
        <v>6.1010899634274489</v>
      </c>
      <c r="G661" s="306">
        <f t="shared" ca="1" si="301"/>
        <v>11.183181357476046</v>
      </c>
      <c r="H661" s="307">
        <f t="shared" ca="1" si="302"/>
        <v>-96.711966951162452</v>
      </c>
      <c r="I661" s="304">
        <f t="shared" ca="1" si="303"/>
        <v>97.356397308224885</v>
      </c>
      <c r="J661" s="306">
        <f t="shared" ca="1" si="304"/>
        <v>452.03279138824598</v>
      </c>
      <c r="K661" s="307">
        <f t="shared" ca="1" si="305"/>
        <v>1140.2573988411832</v>
      </c>
      <c r="L661" s="304">
        <f t="shared" ca="1" si="290"/>
        <v>1226.5890021120808</v>
      </c>
      <c r="M661" s="306">
        <f t="shared" ca="1" si="306"/>
        <v>-1.4556737247139524</v>
      </c>
      <c r="N661" s="304">
        <f t="shared" ca="1" si="307"/>
        <v>-83.403960774197913</v>
      </c>
      <c r="P661" s="310">
        <f t="shared" ca="1" si="308"/>
        <v>23</v>
      </c>
      <c r="Q661" s="304">
        <f t="shared" ca="1" si="309"/>
        <v>0</v>
      </c>
      <c r="R661" s="306">
        <f t="shared" ca="1" si="310"/>
        <v>0</v>
      </c>
      <c r="S661" s="307">
        <f t="shared" ca="1" si="311"/>
        <v>6.8519999999999914</v>
      </c>
      <c r="T661" s="304">
        <f t="shared" ca="1" si="291"/>
        <v>67.218119999999914</v>
      </c>
      <c r="U661" s="311">
        <f t="shared" ca="1" si="292"/>
        <v>0</v>
      </c>
      <c r="V661" s="306">
        <f t="shared" ca="1" si="293"/>
        <v>1.092852572726289</v>
      </c>
      <c r="W661" s="304">
        <f t="shared" ca="1" si="294"/>
        <v>26.037955876080037</v>
      </c>
      <c r="Y661" s="314" t="str">
        <f t="shared" ca="1" si="312"/>
        <v/>
      </c>
      <c r="Z661" s="315" t="str">
        <f t="shared" ca="1" si="313"/>
        <v/>
      </c>
      <c r="AA661" s="316" t="str">
        <f t="shared" ca="1" si="314"/>
        <v/>
      </c>
      <c r="AC661" s="310" t="e">
        <f t="shared" ca="1" si="315"/>
        <v>#N/A</v>
      </c>
      <c r="AD661" s="323" t="e">
        <f t="shared" ca="1" si="316"/>
        <v>#N/A</v>
      </c>
      <c r="AE661" s="324" t="e">
        <f t="shared" ca="1" si="295"/>
        <v>#N/A</v>
      </c>
      <c r="AG661" s="306">
        <f t="shared" ca="1" si="317"/>
        <v>5.9939702908652066</v>
      </c>
      <c r="AH661" s="304">
        <f t="shared" ca="1" si="318"/>
        <v>-3.7497703207243478</v>
      </c>
    </row>
    <row r="662" spans="1:34" x14ac:dyDescent="0.2">
      <c r="A662" s="347">
        <f t="shared" ca="1" si="296"/>
        <v>0.1</v>
      </c>
      <c r="B662" s="304">
        <f t="shared" ca="1" si="297"/>
        <v>29.800000000000111</v>
      </c>
      <c r="D662" s="306">
        <f t="shared" ca="1" si="298"/>
        <v>-0.43650618922234086</v>
      </c>
      <c r="E662" s="307">
        <f t="shared" ca="1" si="299"/>
        <v>-6.035101713312768</v>
      </c>
      <c r="F662" s="304">
        <f t="shared" ca="1" si="300"/>
        <v>6.0508669084074329</v>
      </c>
      <c r="G662" s="306">
        <f t="shared" ca="1" si="301"/>
        <v>11.139530738553812</v>
      </c>
      <c r="H662" s="307">
        <f t="shared" ca="1" si="302"/>
        <v>-97.315477122493732</v>
      </c>
      <c r="I662" s="304">
        <f t="shared" ca="1" si="303"/>
        <v>97.95096340850246</v>
      </c>
      <c r="J662" s="306">
        <f t="shared" ca="1" si="304"/>
        <v>453.1489269930475</v>
      </c>
      <c r="K662" s="307">
        <f t="shared" ca="1" si="305"/>
        <v>1130.5560266375005</v>
      </c>
      <c r="L662" s="304">
        <f t="shared" ca="1" si="290"/>
        <v>1217.990508748456</v>
      </c>
      <c r="M662" s="306">
        <f t="shared" ca="1" si="306"/>
        <v>-1.4568241575388869</v>
      </c>
      <c r="N662" s="304">
        <f t="shared" ca="1" si="307"/>
        <v>-83.469875719679976</v>
      </c>
      <c r="P662" s="310">
        <f t="shared" ca="1" si="308"/>
        <v>23</v>
      </c>
      <c r="Q662" s="304">
        <f t="shared" ca="1" si="309"/>
        <v>0</v>
      </c>
      <c r="R662" s="306">
        <f t="shared" ca="1" si="310"/>
        <v>0</v>
      </c>
      <c r="S662" s="307">
        <f t="shared" ca="1" si="311"/>
        <v>6.8519999999999914</v>
      </c>
      <c r="T662" s="304">
        <f t="shared" ca="1" si="291"/>
        <v>67.218119999999914</v>
      </c>
      <c r="U662" s="311">
        <f t="shared" ca="1" si="292"/>
        <v>0</v>
      </c>
      <c r="V662" s="306">
        <f t="shared" ca="1" si="293"/>
        <v>1.0939167354720745</v>
      </c>
      <c r="W662" s="304">
        <f t="shared" ca="1" si="294"/>
        <v>26.382625292278636</v>
      </c>
      <c r="Y662" s="314" t="str">
        <f t="shared" ca="1" si="312"/>
        <v/>
      </c>
      <c r="Z662" s="315" t="str">
        <f t="shared" ca="1" si="313"/>
        <v/>
      </c>
      <c r="AA662" s="316" t="str">
        <f t="shared" ca="1" si="314"/>
        <v/>
      </c>
      <c r="AC662" s="310" t="e">
        <f t="shared" ca="1" si="315"/>
        <v>#N/A</v>
      </c>
      <c r="AD662" s="323" t="e">
        <f t="shared" ca="1" si="316"/>
        <v>#N/A</v>
      </c>
      <c r="AE662" s="324" t="e">
        <f t="shared" ca="1" si="295"/>
        <v>#N/A</v>
      </c>
      <c r="AG662" s="306">
        <f t="shared" ca="1" si="317"/>
        <v>5.9450128144601857</v>
      </c>
      <c r="AH662" s="304">
        <f t="shared" ca="1" si="318"/>
        <v>-3.8000519375481714</v>
      </c>
    </row>
    <row r="663" spans="1:34" x14ac:dyDescent="0.2">
      <c r="A663" s="347">
        <f t="shared" ca="1" si="296"/>
        <v>0.1</v>
      </c>
      <c r="B663" s="304">
        <f t="shared" ca="1" si="297"/>
        <v>29.900000000000112</v>
      </c>
      <c r="D663" s="306">
        <f t="shared" ca="1" si="298"/>
        <v>-0.43788376072584495</v>
      </c>
      <c r="E663" s="307">
        <f t="shared" ca="1" si="299"/>
        <v>-5.9846263734660994</v>
      </c>
      <c r="F663" s="304">
        <f t="shared" ca="1" si="300"/>
        <v>6.0006245523189836</v>
      </c>
      <c r="G663" s="306">
        <f t="shared" ca="1" si="301"/>
        <v>11.095742362481229</v>
      </c>
      <c r="H663" s="307">
        <f t="shared" ca="1" si="302"/>
        <v>-97.913939759840346</v>
      </c>
      <c r="I663" s="304">
        <f t="shared" ca="1" si="303"/>
        <v>98.540626636267163</v>
      </c>
      <c r="J663" s="306">
        <f t="shared" ca="1" si="304"/>
        <v>454.26069064809923</v>
      </c>
      <c r="K663" s="307">
        <f t="shared" ca="1" si="305"/>
        <v>1120.7945557933838</v>
      </c>
      <c r="L663" s="304">
        <f t="shared" ca="1" si="290"/>
        <v>1209.3523933759657</v>
      </c>
      <c r="M663" s="306">
        <f t="shared" ca="1" si="306"/>
        <v>-1.4579563283781181</v>
      </c>
      <c r="N663" s="304">
        <f t="shared" ca="1" si="307"/>
        <v>-83.534744330455695</v>
      </c>
      <c r="P663" s="310">
        <f t="shared" ca="1" si="308"/>
        <v>23</v>
      </c>
      <c r="Q663" s="304">
        <f t="shared" ca="1" si="309"/>
        <v>0</v>
      </c>
      <c r="R663" s="306">
        <f t="shared" ca="1" si="310"/>
        <v>0</v>
      </c>
      <c r="S663" s="307">
        <f t="shared" ca="1" si="311"/>
        <v>6.8519999999999914</v>
      </c>
      <c r="T663" s="304">
        <f t="shared" ca="1" si="291"/>
        <v>67.218119999999914</v>
      </c>
      <c r="U663" s="311">
        <f t="shared" ca="1" si="292"/>
        <v>0</v>
      </c>
      <c r="V663" s="306">
        <f t="shared" ca="1" si="293"/>
        <v>1.0949884772592238</v>
      </c>
      <c r="W663" s="304">
        <f t="shared" ca="1" si="294"/>
        <v>26.72738732862399</v>
      </c>
      <c r="Y663" s="314" t="str">
        <f t="shared" ca="1" si="312"/>
        <v/>
      </c>
      <c r="Z663" s="315" t="str">
        <f t="shared" ca="1" si="313"/>
        <v/>
      </c>
      <c r="AA663" s="316" t="str">
        <f t="shared" ca="1" si="314"/>
        <v/>
      </c>
      <c r="AC663" s="310" t="e">
        <f t="shared" ca="1" si="315"/>
        <v>#N/A</v>
      </c>
      <c r="AD663" s="323" t="e">
        <f t="shared" ca="1" si="316"/>
        <v>#N/A</v>
      </c>
      <c r="AE663" s="324" t="e">
        <f t="shared" ca="1" si="295"/>
        <v>#N/A</v>
      </c>
      <c r="AG663" s="306">
        <f t="shared" ca="1" si="317"/>
        <v>5.8960007255126508</v>
      </c>
      <c r="AH663" s="304">
        <f t="shared" ca="1" si="318"/>
        <v>-3.850353953922748</v>
      </c>
    </row>
    <row r="664" spans="1:34" x14ac:dyDescent="0.2">
      <c r="A664" s="347">
        <f t="shared" ca="1" si="296"/>
        <v>0.1</v>
      </c>
      <c r="B664" s="304">
        <f t="shared" ca="1" si="297"/>
        <v>30.000000000000114</v>
      </c>
      <c r="D664" s="306">
        <f t="shared" ca="1" si="298"/>
        <v>-0.43921806824603854</v>
      </c>
      <c r="E664" s="307">
        <f t="shared" ca="1" si="299"/>
        <v>-5.9341375231373714</v>
      </c>
      <c r="F664" s="304">
        <f t="shared" ca="1" si="300"/>
        <v>5.9503697914483196</v>
      </c>
      <c r="G664" s="306">
        <f t="shared" ca="1" si="301"/>
        <v>11.051820555656624</v>
      </c>
      <c r="H664" s="307">
        <f t="shared" ca="1" si="302"/>
        <v>-98.507353512154083</v>
      </c>
      <c r="I664" s="304">
        <f t="shared" ca="1" si="303"/>
        <v>99.125382387978362</v>
      </c>
      <c r="J664" s="306">
        <f t="shared" ca="1" si="304"/>
        <v>455.36806879400615</v>
      </c>
      <c r="K664" s="307">
        <f t="shared" ca="1" si="305"/>
        <v>1110.973491129784</v>
      </c>
      <c r="L664" s="304">
        <f t="shared" ca="1" si="290"/>
        <v>1200.6757164489848</v>
      </c>
      <c r="M664" s="306">
        <f t="shared" ca="1" si="306"/>
        <v>-1.4590706877399808</v>
      </c>
      <c r="N664" s="304">
        <f t="shared" ca="1" si="307"/>
        <v>-83.598592418751323</v>
      </c>
      <c r="P664" s="310">
        <f t="shared" ca="1" si="308"/>
        <v>23</v>
      </c>
      <c r="Q664" s="304">
        <f t="shared" ca="1" si="309"/>
        <v>0</v>
      </c>
      <c r="R664" s="306">
        <f t="shared" ca="1" si="310"/>
        <v>0</v>
      </c>
      <c r="S664" s="307">
        <f t="shared" ca="1" si="311"/>
        <v>6.8519999999999914</v>
      </c>
      <c r="T664" s="304">
        <f t="shared" ca="1" si="291"/>
        <v>67.218119999999914</v>
      </c>
      <c r="U664" s="311">
        <f t="shared" ca="1" si="292"/>
        <v>0</v>
      </c>
      <c r="V664" s="306">
        <f t="shared" ca="1" si="293"/>
        <v>1.0960677622511521</v>
      </c>
      <c r="W664" s="304">
        <f t="shared" ca="1" si="294"/>
        <v>27.072195319630449</v>
      </c>
      <c r="Y664" s="314" t="str">
        <f t="shared" ca="1" si="312"/>
        <v/>
      </c>
      <c r="Z664" s="315" t="str">
        <f t="shared" ca="1" si="313"/>
        <v/>
      </c>
      <c r="AA664" s="316" t="str">
        <f t="shared" ca="1" si="314"/>
        <v/>
      </c>
      <c r="AC664" s="310">
        <f t="shared" ca="1" si="315"/>
        <v>30.000000000000114</v>
      </c>
      <c r="AD664" s="323">
        <f t="shared" ca="1" si="316"/>
        <v>455.36806879400615</v>
      </c>
      <c r="AE664" s="324" t="e">
        <f t="shared" ca="1" si="295"/>
        <v>#N/A</v>
      </c>
      <c r="AG664" s="306">
        <f t="shared" ca="1" si="317"/>
        <v>5.8469420492686819</v>
      </c>
      <c r="AH664" s="304">
        <f t="shared" ca="1" si="318"/>
        <v>-3.9006694875399917</v>
      </c>
    </row>
    <row r="665" spans="1:34" x14ac:dyDescent="0.2">
      <c r="A665" s="347">
        <f t="shared" ca="1" si="296"/>
        <v>0.1</v>
      </c>
      <c r="B665" s="304">
        <f t="shared" ca="1" si="297"/>
        <v>30.100000000000115</v>
      </c>
      <c r="D665" s="306">
        <f t="shared" ca="1" si="298"/>
        <v>-0.44050928775056541</v>
      </c>
      <c r="E665" s="307">
        <f t="shared" ca="1" si="299"/>
        <v>-5.8836419927102241</v>
      </c>
      <c r="F665" s="304">
        <f t="shared" ca="1" si="300"/>
        <v>5.9001094507625576</v>
      </c>
      <c r="G665" s="306">
        <f t="shared" ca="1" si="301"/>
        <v>11.007769626881567</v>
      </c>
      <c r="H665" s="307">
        <f t="shared" ca="1" si="302"/>
        <v>-99.09571771142511</v>
      </c>
      <c r="I665" s="304">
        <f t="shared" ca="1" si="303"/>
        <v>99.70522684845038</v>
      </c>
      <c r="J665" s="306">
        <f t="shared" ca="1" si="304"/>
        <v>456.47104830313305</v>
      </c>
      <c r="K665" s="307">
        <f t="shared" ca="1" si="305"/>
        <v>1101.093337568605</v>
      </c>
      <c r="L665" s="304">
        <f t="shared" ca="1" si="290"/>
        <v>1191.9615580952816</v>
      </c>
      <c r="M665" s="306">
        <f t="shared" ca="1" si="306"/>
        <v>-1.460167671296577</v>
      </c>
      <c r="N665" s="304">
        <f t="shared" ca="1" si="307"/>
        <v>-83.661444946739536</v>
      </c>
      <c r="P665" s="310">
        <f t="shared" ca="1" si="308"/>
        <v>23</v>
      </c>
      <c r="Q665" s="304">
        <f t="shared" ca="1" si="309"/>
        <v>0</v>
      </c>
      <c r="R665" s="306">
        <f t="shared" ca="1" si="310"/>
        <v>0</v>
      </c>
      <c r="S665" s="307">
        <f t="shared" ca="1" si="311"/>
        <v>6.8519999999999914</v>
      </c>
      <c r="T665" s="304">
        <f t="shared" ca="1" si="291"/>
        <v>67.218119999999914</v>
      </c>
      <c r="U665" s="311">
        <f t="shared" ca="1" si="292"/>
        <v>0</v>
      </c>
      <c r="V665" s="306">
        <f t="shared" ca="1" si="293"/>
        <v>1.0971545545585497</v>
      </c>
      <c r="W665" s="304">
        <f t="shared" ca="1" si="294"/>
        <v>27.417003100213144</v>
      </c>
      <c r="Y665" s="314" t="str">
        <f t="shared" ca="1" si="312"/>
        <v/>
      </c>
      <c r="Z665" s="315" t="str">
        <f t="shared" ca="1" si="313"/>
        <v/>
      </c>
      <c r="AA665" s="316" t="str">
        <f t="shared" ca="1" si="314"/>
        <v/>
      </c>
      <c r="AC665" s="310" t="e">
        <f t="shared" ca="1" si="315"/>
        <v>#N/A</v>
      </c>
      <c r="AD665" s="323" t="e">
        <f t="shared" ca="1" si="316"/>
        <v>#N/A</v>
      </c>
      <c r="AE665" s="324" t="e">
        <f t="shared" ca="1" si="295"/>
        <v>#N/A</v>
      </c>
      <c r="AG665" s="306">
        <f t="shared" ca="1" si="317"/>
        <v>5.7978446919286837</v>
      </c>
      <c r="AH665" s="304">
        <f t="shared" ca="1" si="318"/>
        <v>-3.9509917279087103</v>
      </c>
    </row>
    <row r="666" spans="1:34" x14ac:dyDescent="0.2">
      <c r="A666" s="347">
        <f t="shared" ca="1" si="296"/>
        <v>0.1</v>
      </c>
      <c r="B666" s="304">
        <f t="shared" ca="1" si="297"/>
        <v>30.200000000000117</v>
      </c>
      <c r="D666" s="306">
        <f t="shared" ca="1" si="298"/>
        <v>-0.44175760310462631</v>
      </c>
      <c r="E666" s="307">
        <f t="shared" ca="1" si="299"/>
        <v>-5.8331465394017892</v>
      </c>
      <c r="F666" s="304">
        <f t="shared" ca="1" si="300"/>
        <v>5.8498502827026106</v>
      </c>
      <c r="G666" s="306">
        <f t="shared" ca="1" si="301"/>
        <v>10.963593866571104</v>
      </c>
      <c r="H666" s="307">
        <f t="shared" ca="1" si="302"/>
        <v>-99.679032365365288</v>
      </c>
      <c r="I666" s="304">
        <f t="shared" ca="1" si="303"/>
        <v>100.28015697916841</v>
      </c>
      <c r="J666" s="306">
        <f t="shared" ca="1" si="304"/>
        <v>457.56961647780565</v>
      </c>
      <c r="K666" s="307">
        <f t="shared" ca="1" si="305"/>
        <v>1091.1546000647654</v>
      </c>
      <c r="L666" s="304">
        <f t="shared" ca="1" si="290"/>
        <v>1183.2110188660959</v>
      </c>
      <c r="M666" s="306">
        <f t="shared" ca="1" si="306"/>
        <v>-1.4612477004850173</v>
      </c>
      <c r="N666" s="304">
        <f t="shared" ca="1" si="307"/>
        <v>-83.723326060988114</v>
      </c>
      <c r="P666" s="310">
        <f t="shared" ca="1" si="308"/>
        <v>23</v>
      </c>
      <c r="Q666" s="304">
        <f t="shared" ca="1" si="309"/>
        <v>0</v>
      </c>
      <c r="R666" s="306">
        <f t="shared" ca="1" si="310"/>
        <v>0</v>
      </c>
      <c r="S666" s="307">
        <f t="shared" ca="1" si="311"/>
        <v>6.8519999999999914</v>
      </c>
      <c r="T666" s="304">
        <f t="shared" ca="1" si="291"/>
        <v>67.218119999999914</v>
      </c>
      <c r="U666" s="311">
        <f t="shared" ca="1" si="292"/>
        <v>0</v>
      </c>
      <c r="V666" s="306">
        <f t="shared" ca="1" si="293"/>
        <v>1.0982488182439065</v>
      </c>
      <c r="W666" s="304">
        <f t="shared" ca="1" si="294"/>
        <v>27.761765013673941</v>
      </c>
      <c r="Y666" s="314" t="str">
        <f t="shared" ca="1" si="312"/>
        <v/>
      </c>
      <c r="Z666" s="315" t="str">
        <f t="shared" ca="1" si="313"/>
        <v/>
      </c>
      <c r="AA666" s="316" t="str">
        <f t="shared" ca="1" si="314"/>
        <v/>
      </c>
      <c r="AC666" s="310" t="e">
        <f t="shared" ca="1" si="315"/>
        <v>#N/A</v>
      </c>
      <c r="AD666" s="323" t="e">
        <f t="shared" ca="1" si="316"/>
        <v>#N/A</v>
      </c>
      <c r="AE666" s="324" t="e">
        <f t="shared" ca="1" si="295"/>
        <v>#N/A</v>
      </c>
      <c r="AG666" s="306">
        <f t="shared" ca="1" si="317"/>
        <v>5.7487164417493632</v>
      </c>
      <c r="AH666" s="304">
        <f t="shared" ca="1" si="318"/>
        <v>-4.0013139375675975</v>
      </c>
    </row>
    <row r="667" spans="1:34" x14ac:dyDescent="0.2">
      <c r="A667" s="347">
        <f t="shared" ca="1" si="296"/>
        <v>0.1</v>
      </c>
      <c r="B667" s="304">
        <f t="shared" ca="1" si="297"/>
        <v>30.300000000000118</v>
      </c>
      <c r="D667" s="306">
        <f t="shared" ca="1" si="298"/>
        <v>-0.44296320589631805</v>
      </c>
      <c r="E667" s="307">
        <f t="shared" ca="1" si="299"/>
        <v>-5.7826578460887106</v>
      </c>
      <c r="F667" s="304">
        <f t="shared" ca="1" si="300"/>
        <v>5.7995989660242255</v>
      </c>
      <c r="G667" s="306">
        <f t="shared" ca="1" si="301"/>
        <v>10.919297545981472</v>
      </c>
      <c r="H667" s="307">
        <f t="shared" ca="1" si="302"/>
        <v>-100.25729814997416</v>
      </c>
      <c r="I667" s="304">
        <f t="shared" ca="1" si="303"/>
        <v>100.85017050670012</v>
      </c>
      <c r="J667" s="306">
        <f t="shared" ca="1" si="304"/>
        <v>458.66376104843329</v>
      </c>
      <c r="K667" s="307">
        <f t="shared" ca="1" si="305"/>
        <v>1081.1577835389985</v>
      </c>
      <c r="L667" s="304">
        <f t="shared" ca="1" si="290"/>
        <v>1174.4252205253658</v>
      </c>
      <c r="M667" s="306">
        <f t="shared" ca="1" si="306"/>
        <v>-1.4623111830798314</v>
      </c>
      <c r="N667" s="304">
        <f t="shared" ca="1" si="307"/>
        <v>-83.784259125256582</v>
      </c>
      <c r="P667" s="310">
        <f t="shared" ca="1" si="308"/>
        <v>23</v>
      </c>
      <c r="Q667" s="304">
        <f t="shared" ca="1" si="309"/>
        <v>0</v>
      </c>
      <c r="R667" s="306">
        <f t="shared" ca="1" si="310"/>
        <v>0</v>
      </c>
      <c r="S667" s="307">
        <f t="shared" ca="1" si="311"/>
        <v>6.8519999999999914</v>
      </c>
      <c r="T667" s="304">
        <f t="shared" ca="1" si="291"/>
        <v>67.218119999999914</v>
      </c>
      <c r="U667" s="311">
        <f t="shared" ca="1" si="292"/>
        <v>0</v>
      </c>
      <c r="V667" s="306">
        <f t="shared" ca="1" si="293"/>
        <v>1.0993505173260048</v>
      </c>
      <c r="W667" s="304">
        <f t="shared" ca="1" si="294"/>
        <v>28.106435919362486</v>
      </c>
      <c r="Y667" s="314" t="str">
        <f t="shared" ca="1" si="312"/>
        <v/>
      </c>
      <c r="Z667" s="315" t="str">
        <f t="shared" ca="1" si="313"/>
        <v/>
      </c>
      <c r="AA667" s="316" t="str">
        <f t="shared" ca="1" si="314"/>
        <v/>
      </c>
      <c r="AC667" s="310" t="e">
        <f t="shared" ca="1" si="315"/>
        <v>#N/A</v>
      </c>
      <c r="AD667" s="323" t="e">
        <f t="shared" ca="1" si="316"/>
        <v>#N/A</v>
      </c>
      <c r="AE667" s="324" t="e">
        <f t="shared" ca="1" si="295"/>
        <v>#N/A</v>
      </c>
      <c r="AG667" s="306">
        <f t="shared" ca="1" si="317"/>
        <v>5.6995649700624167</v>
      </c>
      <c r="AH667" s="304">
        <f t="shared" ca="1" si="318"/>
        <v>-4.051629453250726</v>
      </c>
    </row>
    <row r="668" spans="1:34" x14ac:dyDescent="0.2">
      <c r="A668" s="347">
        <f t="shared" ca="1" si="296"/>
        <v>0.1</v>
      </c>
      <c r="B668" s="304">
        <f t="shared" ca="1" si="297"/>
        <v>30.400000000000119</v>
      </c>
      <c r="D668" s="306">
        <f t="shared" ca="1" si="298"/>
        <v>-0.44412629526222169</v>
      </c>
      <c r="E668" s="307">
        <f t="shared" ca="1" si="299"/>
        <v>-5.7321825201809933</v>
      </c>
      <c r="F668" s="304">
        <f t="shared" ca="1" si="300"/>
        <v>5.7493621046870818</v>
      </c>
      <c r="G668" s="306">
        <f t="shared" ca="1" si="301"/>
        <v>10.874884916455249</v>
      </c>
      <c r="H668" s="307">
        <f t="shared" ca="1" si="302"/>
        <v>-100.83051640199226</v>
      </c>
      <c r="I668" s="304">
        <f t="shared" ca="1" si="303"/>
        <v>101.4152659111959</v>
      </c>
      <c r="J668" s="306">
        <f t="shared" ca="1" si="304"/>
        <v>459.75347017155514</v>
      </c>
      <c r="K668" s="307">
        <f t="shared" ca="1" si="305"/>
        <v>1071.1033928114002</v>
      </c>
      <c r="L668" s="304">
        <f t="shared" ca="1" si="290"/>
        <v>1165.6053068800261</v>
      </c>
      <c r="M668" s="306">
        <f t="shared" ca="1" si="306"/>
        <v>-1.4633585137381331</v>
      </c>
      <c r="N668" s="304">
        <f t="shared" ca="1" si="307"/>
        <v>-83.844266751731922</v>
      </c>
      <c r="P668" s="310">
        <f t="shared" ca="1" si="308"/>
        <v>23</v>
      </c>
      <c r="Q668" s="304">
        <f t="shared" ca="1" si="309"/>
        <v>0</v>
      </c>
      <c r="R668" s="306">
        <f t="shared" ca="1" si="310"/>
        <v>0</v>
      </c>
      <c r="S668" s="307">
        <f t="shared" ca="1" si="311"/>
        <v>6.8519999999999914</v>
      </c>
      <c r="T668" s="304">
        <f t="shared" ca="1" si="291"/>
        <v>67.218119999999914</v>
      </c>
      <c r="U668" s="311">
        <f t="shared" ca="1" si="292"/>
        <v>0</v>
      </c>
      <c r="V668" s="306">
        <f t="shared" ca="1" si="293"/>
        <v>1.1004596157843731</v>
      </c>
      <c r="W668" s="304">
        <f t="shared" ca="1" si="294"/>
        <v>28.450971200013264</v>
      </c>
      <c r="Y668" s="314" t="str">
        <f t="shared" ca="1" si="312"/>
        <v/>
      </c>
      <c r="Z668" s="315" t="str">
        <f t="shared" ca="1" si="313"/>
        <v/>
      </c>
      <c r="AA668" s="316" t="str">
        <f t="shared" ca="1" si="314"/>
        <v/>
      </c>
      <c r="AC668" s="310" t="e">
        <f t="shared" ca="1" si="315"/>
        <v>#N/A</v>
      </c>
      <c r="AD668" s="323" t="e">
        <f t="shared" ca="1" si="316"/>
        <v>#N/A</v>
      </c>
      <c r="AE668" s="324" t="e">
        <f t="shared" ca="1" si="295"/>
        <v>#N/A</v>
      </c>
      <c r="AG668" s="306">
        <f t="shared" ca="1" si="317"/>
        <v>5.6503978322181903</v>
      </c>
      <c r="AH668" s="304">
        <f t="shared" ca="1" si="318"/>
        <v>-4.1019316870056217</v>
      </c>
    </row>
    <row r="669" spans="1:34" x14ac:dyDescent="0.2">
      <c r="A669" s="347">
        <f t="shared" ca="1" si="296"/>
        <v>0.1</v>
      </c>
      <c r="B669" s="304">
        <f t="shared" ca="1" si="297"/>
        <v>30.500000000000121</v>
      </c>
      <c r="D669" s="306">
        <f t="shared" ca="1" si="298"/>
        <v>-0.44524707771329047</v>
      </c>
      <c r="E669" s="307">
        <f t="shared" ca="1" si="299"/>
        <v>-5.6817270925435466</v>
      </c>
      <c r="F669" s="304">
        <f t="shared" ca="1" si="300"/>
        <v>5.6991462267918305</v>
      </c>
      <c r="G669" s="306">
        <f t="shared" ca="1" si="301"/>
        <v>10.830360208683921</v>
      </c>
      <c r="H669" s="307">
        <f t="shared" ca="1" si="302"/>
        <v>-101.39868911124661</v>
      </c>
      <c r="I669" s="304">
        <f t="shared" ca="1" si="303"/>
        <v>101.9754424149711</v>
      </c>
      <c r="J669" s="306">
        <f t="shared" ca="1" si="304"/>
        <v>460.83873242781209</v>
      </c>
      <c r="K669" s="307">
        <f t="shared" ca="1" si="305"/>
        <v>1060.9919325357382</v>
      </c>
      <c r="L669" s="304">
        <f t="shared" ca="1" si="290"/>
        <v>1156.7524446533896</v>
      </c>
      <c r="M669" s="306">
        <f t="shared" ca="1" si="306"/>
        <v>-1.4643900745190352</v>
      </c>
      <c r="N669" s="304">
        <f t="shared" ca="1" si="307"/>
        <v>-83.90337083078883</v>
      </c>
      <c r="P669" s="310">
        <f t="shared" ca="1" si="308"/>
        <v>23</v>
      </c>
      <c r="Q669" s="304">
        <f t="shared" ca="1" si="309"/>
        <v>0</v>
      </c>
      <c r="R669" s="306">
        <f t="shared" ca="1" si="310"/>
        <v>0</v>
      </c>
      <c r="S669" s="307">
        <f t="shared" ca="1" si="311"/>
        <v>6.8519999999999914</v>
      </c>
      <c r="T669" s="304">
        <f t="shared" ca="1" si="291"/>
        <v>67.218119999999914</v>
      </c>
      <c r="U669" s="311">
        <f t="shared" ca="1" si="292"/>
        <v>0</v>
      </c>
      <c r="V669" s="306">
        <f t="shared" ca="1" si="293"/>
        <v>1.1015760775637133</v>
      </c>
      <c r="W669" s="304">
        <f t="shared" ca="1" si="294"/>
        <v>28.795326768759796</v>
      </c>
      <c r="Y669" s="314" t="str">
        <f t="shared" ca="1" si="312"/>
        <v/>
      </c>
      <c r="Z669" s="315" t="str">
        <f t="shared" ca="1" si="313"/>
        <v/>
      </c>
      <c r="AA669" s="316" t="str">
        <f t="shared" ca="1" si="314"/>
        <v/>
      </c>
      <c r="AC669" s="310" t="e">
        <f t="shared" ca="1" si="315"/>
        <v>#N/A</v>
      </c>
      <c r="AD669" s="323" t="e">
        <f t="shared" ca="1" si="316"/>
        <v>#N/A</v>
      </c>
      <c r="AE669" s="324" t="e">
        <f t="shared" ca="1" si="295"/>
        <v>#N/A</v>
      </c>
      <c r="AG669" s="306">
        <f t="shared" ca="1" si="317"/>
        <v>5.6012224684619696</v>
      </c>
      <c r="AH669" s="304">
        <f t="shared" ca="1" si="318"/>
        <v>-4.1522141272640543</v>
      </c>
    </row>
    <row r="670" spans="1:34" x14ac:dyDescent="0.2">
      <c r="A670" s="347">
        <f t="shared" ca="1" si="296"/>
        <v>0.1</v>
      </c>
      <c r="B670" s="304">
        <f t="shared" ca="1" si="297"/>
        <v>30.600000000000122</v>
      </c>
      <c r="D670" s="306">
        <f t="shared" ca="1" si="298"/>
        <v>-0.44632576696106591</v>
      </c>
      <c r="E670" s="307">
        <f t="shared" ca="1" si="299"/>
        <v>-5.6312980164652071</v>
      </c>
      <c r="F670" s="304">
        <f t="shared" ca="1" si="300"/>
        <v>5.6489577835648905</v>
      </c>
      <c r="G670" s="306">
        <f t="shared" ca="1" si="301"/>
        <v>10.785727631987815</v>
      </c>
      <c r="H670" s="307">
        <f t="shared" ca="1" si="302"/>
        <v>-101.96181891289314</v>
      </c>
      <c r="I670" s="304">
        <f t="shared" ca="1" si="303"/>
        <v>102.53069997116492</v>
      </c>
      <c r="J670" s="306">
        <f t="shared" ca="1" si="304"/>
        <v>461.91953681984569</v>
      </c>
      <c r="K670" s="307">
        <f t="shared" ca="1" si="305"/>
        <v>1050.8239071345313</v>
      </c>
      <c r="L670" s="304">
        <f t="shared" ca="1" si="290"/>
        <v>1147.8678244037258</v>
      </c>
      <c r="M670" s="306">
        <f t="shared" ca="1" si="306"/>
        <v>-1.4654062353787165</v>
      </c>
      <c r="N670" s="304">
        <f t="shared" ca="1" si="307"/>
        <v>-83.961592559354955</v>
      </c>
      <c r="P670" s="310">
        <f t="shared" ca="1" si="308"/>
        <v>23</v>
      </c>
      <c r="Q670" s="304">
        <f t="shared" ca="1" si="309"/>
        <v>0</v>
      </c>
      <c r="R670" s="306">
        <f t="shared" ca="1" si="310"/>
        <v>0</v>
      </c>
      <c r="S670" s="307">
        <f t="shared" ca="1" si="311"/>
        <v>6.8519999999999914</v>
      </c>
      <c r="T670" s="304">
        <f t="shared" ca="1" si="291"/>
        <v>67.218119999999914</v>
      </c>
      <c r="U670" s="311">
        <f t="shared" ca="1" si="292"/>
        <v>0</v>
      </c>
      <c r="V670" s="306">
        <f t="shared" ca="1" si="293"/>
        <v>1.1026998665782841</v>
      </c>
      <c r="W670" s="304">
        <f t="shared" ca="1" si="294"/>
        <v>29.139459075827354</v>
      </c>
      <c r="Y670" s="314" t="str">
        <f t="shared" ca="1" si="312"/>
        <v/>
      </c>
      <c r="Z670" s="315" t="str">
        <f t="shared" ca="1" si="313"/>
        <v/>
      </c>
      <c r="AA670" s="316" t="str">
        <f t="shared" ca="1" si="314"/>
        <v/>
      </c>
      <c r="AC670" s="310" t="e">
        <f t="shared" ca="1" si="315"/>
        <v>#N/A</v>
      </c>
      <c r="AD670" s="323" t="e">
        <f t="shared" ca="1" si="316"/>
        <v>#N/A</v>
      </c>
      <c r="AE670" s="324" t="e">
        <f t="shared" ca="1" si="295"/>
        <v>#N/A</v>
      </c>
      <c r="AG670" s="306">
        <f t="shared" ca="1" si="317"/>
        <v>5.5520462047498755</v>
      </c>
      <c r="AH670" s="304">
        <f t="shared" ca="1" si="318"/>
        <v>-4.2024703398657079</v>
      </c>
    </row>
    <row r="671" spans="1:34" x14ac:dyDescent="0.2">
      <c r="A671" s="347">
        <f t="shared" ca="1" si="296"/>
        <v>0.1</v>
      </c>
      <c r="B671" s="304">
        <f t="shared" ca="1" si="297"/>
        <v>30.700000000000124</v>
      </c>
      <c r="D671" s="306">
        <f t="shared" ca="1" si="298"/>
        <v>-0.4473625837442618</v>
      </c>
      <c r="E671" s="307">
        <f t="shared" ca="1" si="299"/>
        <v>-5.5809016666750599</v>
      </c>
      <c r="F671" s="304">
        <f t="shared" ca="1" si="300"/>
        <v>5.5988031483908065</v>
      </c>
      <c r="G671" s="306">
        <f t="shared" ca="1" si="301"/>
        <v>10.740991373613388</v>
      </c>
      <c r="H671" s="307">
        <f t="shared" ca="1" si="302"/>
        <v>-102.51990907956065</v>
      </c>
      <c r="I671" s="304">
        <f t="shared" ca="1" si="303"/>
        <v>103.08103925247077</v>
      </c>
      <c r="J671" s="306">
        <f t="shared" ca="1" si="304"/>
        <v>462.99587277012574</v>
      </c>
      <c r="K671" s="307">
        <f t="shared" ca="1" si="305"/>
        <v>1040.5998207349087</v>
      </c>
      <c r="L671" s="304">
        <f t="shared" ca="1" si="290"/>
        <v>1138.952661490237</v>
      </c>
      <c r="M671" s="306">
        <f t="shared" ca="1" si="306"/>
        <v>-1.4664073546424523</v>
      </c>
      <c r="N671" s="304">
        <f t="shared" ca="1" si="307"/>
        <v>-84.018952467956268</v>
      </c>
      <c r="P671" s="310">
        <f t="shared" ca="1" si="308"/>
        <v>23</v>
      </c>
      <c r="Q671" s="304">
        <f t="shared" ca="1" si="309"/>
        <v>0</v>
      </c>
      <c r="R671" s="306">
        <f t="shared" ca="1" si="310"/>
        <v>0</v>
      </c>
      <c r="S671" s="307">
        <f t="shared" ca="1" si="311"/>
        <v>6.8519999999999914</v>
      </c>
      <c r="T671" s="304">
        <f t="shared" ca="1" si="291"/>
        <v>67.218119999999914</v>
      </c>
      <c r="U671" s="311">
        <f t="shared" ca="1" si="292"/>
        <v>0</v>
      </c>
      <c r="V671" s="306">
        <f t="shared" ca="1" si="293"/>
        <v>1.1038309467162579</v>
      </c>
      <c r="W671" s="304">
        <f t="shared" ca="1" si="294"/>
        <v>29.483325114905863</v>
      </c>
      <c r="Y671" s="314" t="str">
        <f t="shared" ca="1" si="312"/>
        <v/>
      </c>
      <c r="Z671" s="315" t="str">
        <f t="shared" ca="1" si="313"/>
        <v/>
      </c>
      <c r="AA671" s="316" t="str">
        <f t="shared" ca="1" si="314"/>
        <v/>
      </c>
      <c r="AC671" s="310" t="e">
        <f t="shared" ca="1" si="315"/>
        <v>#N/A</v>
      </c>
      <c r="AD671" s="323" t="e">
        <f t="shared" ca="1" si="316"/>
        <v>#N/A</v>
      </c>
      <c r="AE671" s="324" t="e">
        <f t="shared" ca="1" si="295"/>
        <v>#N/A</v>
      </c>
      <c r="AG671" s="306">
        <f t="shared" ca="1" si="317"/>
        <v>5.5028762535109363</v>
      </c>
      <c r="AH671" s="304">
        <f t="shared" ca="1" si="318"/>
        <v>-4.2526939690349375</v>
      </c>
    </row>
    <row r="672" spans="1:34" x14ac:dyDescent="0.2">
      <c r="A672" s="347">
        <f t="shared" ca="1" si="296"/>
        <v>0.1</v>
      </c>
      <c r="B672" s="304">
        <f t="shared" ca="1" si="297"/>
        <v>30.800000000000125</v>
      </c>
      <c r="D672" s="306">
        <f t="shared" ca="1" si="298"/>
        <v>-0.44835775565576091</v>
      </c>
      <c r="E672" s="307">
        <f t="shared" ca="1" si="299"/>
        <v>-5.530544338405778</v>
      </c>
      <c r="F672" s="304">
        <f t="shared" ca="1" si="300"/>
        <v>5.5486886158919457</v>
      </c>
      <c r="G672" s="306">
        <f t="shared" ca="1" si="301"/>
        <v>10.696155598047813</v>
      </c>
      <c r="H672" s="307">
        <f t="shared" ca="1" si="302"/>
        <v>-103.07296351340122</v>
      </c>
      <c r="I672" s="304">
        <f t="shared" ca="1" si="303"/>
        <v>103.6264616399334</v>
      </c>
      <c r="J672" s="306">
        <f t="shared" ca="1" si="304"/>
        <v>464.06773011870882</v>
      </c>
      <c r="K672" s="307">
        <f t="shared" ca="1" si="305"/>
        <v>1030.3201771052607</v>
      </c>
      <c r="L672" s="304">
        <f t="shared" ca="1" si="290"/>
        <v>1130.0081970887406</v>
      </c>
      <c r="M672" s="306">
        <f t="shared" ca="1" si="306"/>
        <v>-1.4673937794548475</v>
      </c>
      <c r="N672" s="304">
        <f t="shared" ca="1" si="307"/>
        <v>-84.075470446513492</v>
      </c>
      <c r="P672" s="310">
        <f t="shared" ca="1" si="308"/>
        <v>23</v>
      </c>
      <c r="Q672" s="304">
        <f t="shared" ca="1" si="309"/>
        <v>0</v>
      </c>
      <c r="R672" s="306">
        <f t="shared" ca="1" si="310"/>
        <v>0</v>
      </c>
      <c r="S672" s="307">
        <f t="shared" ca="1" si="311"/>
        <v>6.8519999999999914</v>
      </c>
      <c r="T672" s="304">
        <f t="shared" ca="1" si="291"/>
        <v>67.218119999999914</v>
      </c>
      <c r="U672" s="311">
        <f t="shared" ca="1" si="292"/>
        <v>0</v>
      </c>
      <c r="V672" s="306">
        <f t="shared" ca="1" si="293"/>
        <v>1.1049692818440322</v>
      </c>
      <c r="W672" s="304">
        <f t="shared" ca="1" si="294"/>
        <v>29.8268824292043</v>
      </c>
      <c r="Y672" s="314" t="str">
        <f t="shared" ca="1" si="312"/>
        <v/>
      </c>
      <c r="Z672" s="315" t="str">
        <f t="shared" ca="1" si="313"/>
        <v/>
      </c>
      <c r="AA672" s="316" t="str">
        <f t="shared" ca="1" si="314"/>
        <v/>
      </c>
      <c r="AC672" s="310" t="e">
        <f t="shared" ca="1" si="315"/>
        <v>#N/A</v>
      </c>
      <c r="AD672" s="323" t="e">
        <f t="shared" ca="1" si="316"/>
        <v>#N/A</v>
      </c>
      <c r="AE672" s="324" t="e">
        <f t="shared" ca="1" si="295"/>
        <v>#N/A</v>
      </c>
      <c r="AG672" s="306">
        <f t="shared" ca="1" si="317"/>
        <v>5.4537197143612719</v>
      </c>
      <c r="AH672" s="304">
        <f t="shared" ca="1" si="318"/>
        <v>-4.3028787383108433</v>
      </c>
    </row>
    <row r="673" spans="1:34" x14ac:dyDescent="0.2">
      <c r="A673" s="347">
        <f t="shared" ca="1" si="296"/>
        <v>0.1</v>
      </c>
      <c r="B673" s="304">
        <f t="shared" ca="1" si="297"/>
        <v>30.900000000000126</v>
      </c>
      <c r="D673" s="306">
        <f t="shared" ca="1" si="298"/>
        <v>-0.44931151697005539</v>
      </c>
      <c r="E673" s="307">
        <f t="shared" ca="1" si="299"/>
        <v>-5.4802322465037809</v>
      </c>
      <c r="F673" s="304">
        <f t="shared" ca="1" si="300"/>
        <v>5.4986204010553239</v>
      </c>
      <c r="G673" s="306">
        <f t="shared" ca="1" si="301"/>
        <v>10.651224446350808</v>
      </c>
      <c r="H673" s="307">
        <f t="shared" ca="1" si="302"/>
        <v>-103.6209867380516</v>
      </c>
      <c r="I673" s="304">
        <f t="shared" ca="1" si="303"/>
        <v>104.1669692118092</v>
      </c>
      <c r="J673" s="306">
        <f t="shared" ca="1" si="304"/>
        <v>465.13509912092877</v>
      </c>
      <c r="K673" s="307">
        <f t="shared" ca="1" si="305"/>
        <v>1019.985479592688</v>
      </c>
      <c r="L673" s="304">
        <f t="shared" ca="1" si="290"/>
        <v>1121.0356992594668</v>
      </c>
      <c r="M673" s="306">
        <f t="shared" ca="1" si="306"/>
        <v>-1.4683658462094293</v>
      </c>
      <c r="N673" s="304">
        <f t="shared" ca="1" si="307"/>
        <v>-84.131165768956009</v>
      </c>
      <c r="P673" s="310">
        <f t="shared" ca="1" si="308"/>
        <v>23</v>
      </c>
      <c r="Q673" s="304">
        <f t="shared" ca="1" si="309"/>
        <v>0</v>
      </c>
      <c r="R673" s="306">
        <f t="shared" ca="1" si="310"/>
        <v>0</v>
      </c>
      <c r="S673" s="307">
        <f t="shared" ca="1" si="311"/>
        <v>6.8519999999999914</v>
      </c>
      <c r="T673" s="304">
        <f t="shared" ca="1" si="291"/>
        <v>67.218119999999914</v>
      </c>
      <c r="U673" s="311">
        <f t="shared" ca="1" si="292"/>
        <v>0</v>
      </c>
      <c r="V673" s="306">
        <f t="shared" ca="1" si="293"/>
        <v>1.1061148358105095</v>
      </c>
      <c r="W673" s="304">
        <f t="shared" ca="1" si="294"/>
        <v>30.170089117189029</v>
      </c>
      <c r="Y673" s="314" t="str">
        <f t="shared" ca="1" si="312"/>
        <v/>
      </c>
      <c r="Z673" s="315" t="str">
        <f t="shared" ca="1" si="313"/>
        <v/>
      </c>
      <c r="AA673" s="316" t="str">
        <f t="shared" ca="1" si="314"/>
        <v/>
      </c>
      <c r="AC673" s="310" t="e">
        <f t="shared" ca="1" si="315"/>
        <v>#N/A</v>
      </c>
      <c r="AD673" s="323" t="e">
        <f t="shared" ca="1" si="316"/>
        <v>#N/A</v>
      </c>
      <c r="AE673" s="324" t="e">
        <f t="shared" ca="1" si="295"/>
        <v>#N/A</v>
      </c>
      <c r="AG673" s="306">
        <f t="shared" ca="1" si="317"/>
        <v>5.4045835747760274</v>
      </c>
      <c r="AH673" s="304">
        <f t="shared" ca="1" si="318"/>
        <v>-4.3530184514308727</v>
      </c>
    </row>
    <row r="674" spans="1:34" x14ac:dyDescent="0.2">
      <c r="A674" s="347">
        <f t="shared" ca="1" si="296"/>
        <v>0.1</v>
      </c>
      <c r="B674" s="304">
        <f t="shared" ca="1" si="297"/>
        <v>31.000000000000128</v>
      </c>
      <c r="D674" s="306">
        <f t="shared" ca="1" si="298"/>
        <v>-0.45022410847118494</v>
      </c>
      <c r="E674" s="307">
        <f t="shared" ca="1" si="299"/>
        <v>-5.4299715245858557</v>
      </c>
      <c r="F674" s="304">
        <f t="shared" ca="1" si="300"/>
        <v>5.4486046384062332</v>
      </c>
      <c r="G674" s="306">
        <f t="shared" ca="1" si="301"/>
        <v>10.606202035503689</v>
      </c>
      <c r="H674" s="307">
        <f t="shared" ca="1" si="302"/>
        <v>-104.16398389051018</v>
      </c>
      <c r="I674" s="304">
        <f t="shared" ca="1" si="303"/>
        <v>104.70256473248584</v>
      </c>
      <c r="J674" s="306">
        <f t="shared" ca="1" si="304"/>
        <v>466.1979704450215</v>
      </c>
      <c r="K674" s="307">
        <f t="shared" ca="1" si="305"/>
        <v>1009.5962310612599</v>
      </c>
      <c r="L674" s="304">
        <f t="shared" ca="1" si="290"/>
        <v>1112.0364640694827</v>
      </c>
      <c r="M674" s="306">
        <f t="shared" ca="1" si="306"/>
        <v>-1.4693238809586904</v>
      </c>
      <c r="N674" s="304">
        <f t="shared" ca="1" si="307"/>
        <v>-84.186057116715546</v>
      </c>
      <c r="P674" s="310">
        <f t="shared" ca="1" si="308"/>
        <v>23</v>
      </c>
      <c r="Q674" s="304">
        <f t="shared" ca="1" si="309"/>
        <v>0</v>
      </c>
      <c r="R674" s="306">
        <f t="shared" ca="1" si="310"/>
        <v>0</v>
      </c>
      <c r="S674" s="307">
        <f t="shared" ca="1" si="311"/>
        <v>6.8519999999999914</v>
      </c>
      <c r="T674" s="304">
        <f t="shared" ca="1" si="291"/>
        <v>67.218119999999914</v>
      </c>
      <c r="U674" s="311">
        <f t="shared" ca="1" si="292"/>
        <v>0</v>
      </c>
      <c r="V674" s="306">
        <f t="shared" ca="1" si="293"/>
        <v>1.107267572451337</v>
      </c>
      <c r="W674" s="304">
        <f t="shared" ca="1" si="294"/>
        <v>30.512903838007645</v>
      </c>
      <c r="Y674" s="314" t="str">
        <f t="shared" ca="1" si="312"/>
        <v/>
      </c>
      <c r="Z674" s="315" t="str">
        <f t="shared" ca="1" si="313"/>
        <v/>
      </c>
      <c r="AA674" s="316" t="str">
        <f t="shared" ca="1" si="314"/>
        <v/>
      </c>
      <c r="AC674" s="310">
        <f t="shared" ca="1" si="315"/>
        <v>31.000000000000128</v>
      </c>
      <c r="AD674" s="323">
        <f t="shared" ca="1" si="316"/>
        <v>466.1979704450215</v>
      </c>
      <c r="AE674" s="324" t="e">
        <f t="shared" ca="1" si="295"/>
        <v>#N/A</v>
      </c>
      <c r="AG674" s="306">
        <f t="shared" ca="1" si="317"/>
        <v>5.3554747107241374</v>
      </c>
      <c r="AH674" s="304">
        <f t="shared" ca="1" si="318"/>
        <v>-4.403106993168282</v>
      </c>
    </row>
    <row r="675" spans="1:34" x14ac:dyDescent="0.2">
      <c r="A675" s="347">
        <f t="shared" ca="1" si="296"/>
        <v>0.1</v>
      </c>
      <c r="B675" s="304">
        <f t="shared" ca="1" si="297"/>
        <v>31.100000000000129</v>
      </c>
      <c r="D675" s="306">
        <f t="shared" ca="1" si="298"/>
        <v>-0.45109577728121647</v>
      </c>
      <c r="E675" s="307">
        <f t="shared" ca="1" si="299"/>
        <v>-5.37976822424198</v>
      </c>
      <c r="F675" s="304">
        <f t="shared" ca="1" si="300"/>
        <v>5.3986473812284359</v>
      </c>
      <c r="G675" s="306">
        <f t="shared" ca="1" si="301"/>
        <v>10.561092457775567</v>
      </c>
      <c r="H675" s="307">
        <f t="shared" ca="1" si="302"/>
        <v>-104.70196071293438</v>
      </c>
      <c r="I675" s="304">
        <f t="shared" ca="1" si="303"/>
        <v>105.23325164145855</v>
      </c>
      <c r="J675" s="306">
        <f t="shared" ca="1" si="304"/>
        <v>467.25633516968549</v>
      </c>
      <c r="K675" s="307">
        <f t="shared" ca="1" si="305"/>
        <v>999.15293383108769</v>
      </c>
      <c r="L675" s="304">
        <f t="shared" ca="1" si="290"/>
        <v>1103.011816772366</v>
      </c>
      <c r="M675" s="306">
        <f t="shared" ca="1" si="306"/>
        <v>-1.4702681998056089</v>
      </c>
      <c r="N675" s="304">
        <f t="shared" ca="1" si="307"/>
        <v>-84.24016260115863</v>
      </c>
      <c r="P675" s="310">
        <f t="shared" ca="1" si="308"/>
        <v>23</v>
      </c>
      <c r="Q675" s="304">
        <f t="shared" ca="1" si="309"/>
        <v>0</v>
      </c>
      <c r="R675" s="306">
        <f t="shared" ca="1" si="310"/>
        <v>0</v>
      </c>
      <c r="S675" s="307">
        <f t="shared" ca="1" si="311"/>
        <v>6.8519999999999914</v>
      </c>
      <c r="T675" s="304">
        <f t="shared" ca="1" si="291"/>
        <v>67.218119999999914</v>
      </c>
      <c r="U675" s="311">
        <f t="shared" ca="1" si="292"/>
        <v>0</v>
      </c>
      <c r="V675" s="306">
        <f t="shared" ca="1" si="293"/>
        <v>1.1084274555931071</v>
      </c>
      <c r="W675" s="304">
        <f t="shared" ca="1" si="294"/>
        <v>30.855285816601018</v>
      </c>
      <c r="Y675" s="314" t="str">
        <f t="shared" ca="1" si="312"/>
        <v/>
      </c>
      <c r="Z675" s="315" t="str">
        <f t="shared" ca="1" si="313"/>
        <v/>
      </c>
      <c r="AA675" s="316" t="str">
        <f t="shared" ca="1" si="314"/>
        <v/>
      </c>
      <c r="AC675" s="310" t="e">
        <f t="shared" ca="1" si="315"/>
        <v>#N/A</v>
      </c>
      <c r="AD675" s="323" t="e">
        <f t="shared" ca="1" si="316"/>
        <v>#N/A</v>
      </c>
      <c r="AE675" s="324" t="e">
        <f t="shared" ca="1" si="295"/>
        <v>#N/A</v>
      </c>
      <c r="AG675" s="306">
        <f t="shared" ca="1" si="317"/>
        <v>5.3063998872706692</v>
      </c>
      <c r="AH675" s="304">
        <f t="shared" ca="1" si="318"/>
        <v>-4.4531383301237133</v>
      </c>
    </row>
    <row r="676" spans="1:34" x14ac:dyDescent="0.2">
      <c r="A676" s="347">
        <f t="shared" ca="1" si="296"/>
        <v>0.1</v>
      </c>
      <c r="B676" s="304">
        <f t="shared" ca="1" si="297"/>
        <v>31.200000000000131</v>
      </c>
      <c r="D676" s="306">
        <f t="shared" ca="1" si="298"/>
        <v>-0.45192677668930725</v>
      </c>
      <c r="E676" s="307">
        <f t="shared" ca="1" si="299"/>
        <v>-5.329628314283954</v>
      </c>
      <c r="F676" s="304">
        <f t="shared" ca="1" si="300"/>
        <v>5.3487546008305529</v>
      </c>
      <c r="G676" s="306">
        <f t="shared" ca="1" si="301"/>
        <v>10.515899780106636</v>
      </c>
      <c r="H676" s="307">
        <f t="shared" ca="1" si="302"/>
        <v>-105.23492354436277</v>
      </c>
      <c r="I676" s="304">
        <f t="shared" ca="1" si="303"/>
        <v>105.7590340423603</v>
      </c>
      <c r="J676" s="306">
        <f t="shared" ca="1" si="304"/>
        <v>468.31018478157961</v>
      </c>
      <c r="K676" s="307">
        <f t="shared" ca="1" si="305"/>
        <v>988.65608961822284</v>
      </c>
      <c r="L676" s="304">
        <f t="shared" ca="1" si="290"/>
        <v>1093.9631130478544</v>
      </c>
      <c r="M676" s="306">
        <f t="shared" ca="1" si="306"/>
        <v>-1.4711991092776096</v>
      </c>
      <c r="N676" s="304">
        <f t="shared" ca="1" si="307"/>
        <v>-84.293499785013026</v>
      </c>
      <c r="P676" s="310">
        <f t="shared" ca="1" si="308"/>
        <v>23</v>
      </c>
      <c r="Q676" s="304">
        <f t="shared" ca="1" si="309"/>
        <v>0</v>
      </c>
      <c r="R676" s="306">
        <f t="shared" ca="1" si="310"/>
        <v>0</v>
      </c>
      <c r="S676" s="307">
        <f t="shared" ca="1" si="311"/>
        <v>6.8519999999999914</v>
      </c>
      <c r="T676" s="304">
        <f t="shared" ca="1" si="291"/>
        <v>67.218119999999914</v>
      </c>
      <c r="U676" s="311">
        <f t="shared" ca="1" si="292"/>
        <v>0</v>
      </c>
      <c r="V676" s="306">
        <f t="shared" ca="1" si="293"/>
        <v>1.1095944490575191</v>
      </c>
      <c r="W676" s="304">
        <f t="shared" ca="1" si="294"/>
        <v>31.197194848505639</v>
      </c>
      <c r="Y676" s="314" t="str">
        <f t="shared" ca="1" si="312"/>
        <v/>
      </c>
      <c r="Z676" s="315" t="str">
        <f t="shared" ca="1" si="313"/>
        <v/>
      </c>
      <c r="AA676" s="316" t="str">
        <f t="shared" ca="1" si="314"/>
        <v/>
      </c>
      <c r="AC676" s="310" t="e">
        <f t="shared" ca="1" si="315"/>
        <v>#N/A</v>
      </c>
      <c r="AD676" s="323" t="e">
        <f t="shared" ca="1" si="316"/>
        <v>#N/A</v>
      </c>
      <c r="AE676" s="324" t="e">
        <f t="shared" ca="1" si="295"/>
        <v>#N/A</v>
      </c>
      <c r="AG676" s="306">
        <f t="shared" ca="1" si="317"/>
        <v>5.2573657591511509</v>
      </c>
      <c r="AH676" s="304">
        <f t="shared" ca="1" si="318"/>
        <v>-4.5031065114712572</v>
      </c>
    </row>
    <row r="677" spans="1:34" x14ac:dyDescent="0.2">
      <c r="A677" s="347">
        <f t="shared" ca="1" si="296"/>
        <v>0.1</v>
      </c>
      <c r="B677" s="304">
        <f t="shared" ca="1" si="297"/>
        <v>31.300000000000132</v>
      </c>
      <c r="D677" s="306">
        <f t="shared" ca="1" si="298"/>
        <v>-0.45271736598140133</v>
      </c>
      <c r="E677" s="307">
        <f t="shared" ca="1" si="299"/>
        <v>-5.2795576800395319</v>
      </c>
      <c r="F677" s="304">
        <f t="shared" ca="1" si="300"/>
        <v>5.2989321858583489</v>
      </c>
      <c r="G677" s="306">
        <f t="shared" ca="1" si="301"/>
        <v>10.470628043508496</v>
      </c>
      <c r="H677" s="307">
        <f t="shared" ca="1" si="302"/>
        <v>-105.76287931236672</v>
      </c>
      <c r="I677" s="304">
        <f t="shared" ca="1" si="303"/>
        <v>106.27991669204373</v>
      </c>
      <c r="J677" s="306">
        <f t="shared" ca="1" si="304"/>
        <v>469.35951117276039</v>
      </c>
      <c r="K677" s="307">
        <f t="shared" ca="1" si="305"/>
        <v>978.10619947538635</v>
      </c>
      <c r="L677" s="304">
        <f t="shared" ca="1" si="290"/>
        <v>1084.891740304311</v>
      </c>
      <c r="M677" s="306">
        <f t="shared" ca="1" si="306"/>
        <v>-1.4721169066838733</v>
      </c>
      <c r="N677" s="304">
        <f t="shared" ca="1" si="307"/>
        <v>-84.346085702839986</v>
      </c>
      <c r="P677" s="310">
        <f t="shared" ca="1" si="308"/>
        <v>23</v>
      </c>
      <c r="Q677" s="304">
        <f t="shared" ca="1" si="309"/>
        <v>0</v>
      </c>
      <c r="R677" s="306">
        <f t="shared" ca="1" si="310"/>
        <v>0</v>
      </c>
      <c r="S677" s="307">
        <f t="shared" ca="1" si="311"/>
        <v>6.8519999999999914</v>
      </c>
      <c r="T677" s="304">
        <f t="shared" ca="1" si="291"/>
        <v>67.218119999999914</v>
      </c>
      <c r="U677" s="311">
        <f t="shared" ca="1" si="292"/>
        <v>0</v>
      </c>
      <c r="V677" s="306">
        <f t="shared" ca="1" si="293"/>
        <v>1.1107685166655024</v>
      </c>
      <c r="W677" s="304">
        <f t="shared" ca="1" si="294"/>
        <v>31.538591304349115</v>
      </c>
      <c r="Y677" s="314" t="str">
        <f t="shared" ca="1" si="312"/>
        <v/>
      </c>
      <c r="Z677" s="315" t="str">
        <f t="shared" ca="1" si="313"/>
        <v/>
      </c>
      <c r="AA677" s="316" t="str">
        <f t="shared" ca="1" si="314"/>
        <v/>
      </c>
      <c r="AC677" s="310" t="e">
        <f t="shared" ca="1" si="315"/>
        <v>#N/A</v>
      </c>
      <c r="AD677" s="323" t="e">
        <f t="shared" ca="1" si="316"/>
        <v>#N/A</v>
      </c>
      <c r="AE677" s="324" t="e">
        <f t="shared" ca="1" si="295"/>
        <v>#N/A</v>
      </c>
      <c r="AG677" s="306">
        <f t="shared" ca="1" si="317"/>
        <v>5.2083788713218624</v>
      </c>
      <c r="AH677" s="304">
        <f t="shared" ca="1" si="318"/>
        <v>-4.5530056696593224</v>
      </c>
    </row>
    <row r="678" spans="1:34" x14ac:dyDescent="0.2">
      <c r="A678" s="347">
        <f t="shared" ca="1" si="296"/>
        <v>0.1</v>
      </c>
      <c r="B678" s="304">
        <f t="shared" ca="1" si="297"/>
        <v>31.400000000000134</v>
      </c>
      <c r="D678" s="306">
        <f t="shared" ca="1" si="298"/>
        <v>-0.45346781027061056</v>
      </c>
      <c r="E678" s="307">
        <f t="shared" ca="1" si="299"/>
        <v>-5.2295621226916067</v>
      </c>
      <c r="F678" s="304">
        <f t="shared" ca="1" si="300"/>
        <v>5.2491859416525122</v>
      </c>
      <c r="G678" s="306">
        <f t="shared" ca="1" si="301"/>
        <v>10.425281262481436</v>
      </c>
      <c r="H678" s="307">
        <f t="shared" ca="1" si="302"/>
        <v>-106.28583552463589</v>
      </c>
      <c r="I678" s="304">
        <f t="shared" ca="1" si="303"/>
        <v>106.79590498971297</v>
      </c>
      <c r="J678" s="306">
        <f t="shared" ca="1" si="304"/>
        <v>470.40430663805989</v>
      </c>
      <c r="K678" s="307">
        <f t="shared" ca="1" si="305"/>
        <v>967.50376373353618</v>
      </c>
      <c r="L678" s="304">
        <f t="shared" ca="1" si="290"/>
        <v>1075.7991190469493</v>
      </c>
      <c r="M678" s="306">
        <f t="shared" ca="1" si="306"/>
        <v>-1.4730218804568509</v>
      </c>
      <c r="N678" s="304">
        <f t="shared" ca="1" si="307"/>
        <v>-84.397936880601634</v>
      </c>
      <c r="P678" s="310">
        <f t="shared" ca="1" si="308"/>
        <v>23</v>
      </c>
      <c r="Q678" s="304">
        <f t="shared" ca="1" si="309"/>
        <v>0</v>
      </c>
      <c r="R678" s="306">
        <f t="shared" ca="1" si="310"/>
        <v>0</v>
      </c>
      <c r="S678" s="307">
        <f t="shared" ca="1" si="311"/>
        <v>6.8519999999999914</v>
      </c>
      <c r="T678" s="304">
        <f t="shared" ca="1" si="291"/>
        <v>67.218119999999914</v>
      </c>
      <c r="U678" s="311">
        <f t="shared" ca="1" si="292"/>
        <v>0</v>
      </c>
      <c r="V678" s="306">
        <f t="shared" ca="1" si="293"/>
        <v>1.1119496222412941</v>
      </c>
      <c r="W678" s="304">
        <f t="shared" ca="1" si="294"/>
        <v>31.879436134041274</v>
      </c>
      <c r="Y678" s="314" t="str">
        <f t="shared" ca="1" si="312"/>
        <v/>
      </c>
      <c r="Z678" s="315" t="str">
        <f t="shared" ca="1" si="313"/>
        <v/>
      </c>
      <c r="AA678" s="316" t="str">
        <f t="shared" ca="1" si="314"/>
        <v/>
      </c>
      <c r="AC678" s="310" t="e">
        <f t="shared" ca="1" si="315"/>
        <v>#N/A</v>
      </c>
      <c r="AD678" s="323" t="e">
        <f t="shared" ca="1" si="316"/>
        <v>#N/A</v>
      </c>
      <c r="AE678" s="324" t="e">
        <f t="shared" ca="1" si="295"/>
        <v>#N/A</v>
      </c>
      <c r="AG678" s="306">
        <f t="shared" ca="1" si="317"/>
        <v>5.159445659489859</v>
      </c>
      <c r="AH678" s="304">
        <f t="shared" ca="1" si="318"/>
        <v>-4.6028300210667181</v>
      </c>
    </row>
    <row r="679" spans="1:34" x14ac:dyDescent="0.2">
      <c r="A679" s="347">
        <f t="shared" ca="1" si="296"/>
        <v>0.1</v>
      </c>
      <c r="B679" s="304">
        <f t="shared" ca="1" si="297"/>
        <v>31.500000000000135</v>
      </c>
      <c r="D679" s="306">
        <f t="shared" ca="1" si="298"/>
        <v>-0.45417838032832075</v>
      </c>
      <c r="E679" s="307">
        <f t="shared" ca="1" si="299"/>
        <v>-5.179647358662101</v>
      </c>
      <c r="F679" s="304">
        <f t="shared" ca="1" si="300"/>
        <v>5.1995215896515843</v>
      </c>
      <c r="G679" s="306">
        <f t="shared" ca="1" si="301"/>
        <v>10.379863424448603</v>
      </c>
      <c r="H679" s="307">
        <f t="shared" ca="1" si="302"/>
        <v>-106.8038002605021</v>
      </c>
      <c r="I679" s="304">
        <f t="shared" ca="1" si="303"/>
        <v>107.30700496610385</v>
      </c>
      <c r="J679" s="306">
        <f t="shared" ca="1" si="304"/>
        <v>471.44456387240638</v>
      </c>
      <c r="K679" s="307">
        <f t="shared" ca="1" si="305"/>
        <v>956.84928194427926</v>
      </c>
      <c r="L679" s="304">
        <f t="shared" ca="1" si="290"/>
        <v>1066.6867043148734</v>
      </c>
      <c r="M679" s="306">
        <f t="shared" ca="1" si="306"/>
        <v>-1.4739143104787855</v>
      </c>
      <c r="N679" s="304">
        <f t="shared" ca="1" si="307"/>
        <v>-84.449069354369257</v>
      </c>
      <c r="P679" s="310">
        <f t="shared" ca="1" si="308"/>
        <v>23</v>
      </c>
      <c r="Q679" s="304">
        <f t="shared" ca="1" si="309"/>
        <v>0</v>
      </c>
      <c r="R679" s="306">
        <f t="shared" ca="1" si="310"/>
        <v>0</v>
      </c>
      <c r="S679" s="307">
        <f t="shared" ca="1" si="311"/>
        <v>6.8519999999999914</v>
      </c>
      <c r="T679" s="304">
        <f t="shared" ca="1" si="291"/>
        <v>67.218119999999914</v>
      </c>
      <c r="U679" s="311">
        <f t="shared" ca="1" si="292"/>
        <v>0</v>
      </c>
      <c r="V679" s="306">
        <f t="shared" ca="1" si="293"/>
        <v>1.1131377296164822</v>
      </c>
      <c r="W679" s="304">
        <f t="shared" ca="1" si="294"/>
        <v>32.219690870664131</v>
      </c>
      <c r="Y679" s="314" t="str">
        <f t="shared" ca="1" si="312"/>
        <v/>
      </c>
      <c r="Z679" s="315" t="str">
        <f t="shared" ca="1" si="313"/>
        <v/>
      </c>
      <c r="AA679" s="316" t="str">
        <f t="shared" ca="1" si="314"/>
        <v/>
      </c>
      <c r="AC679" s="310" t="e">
        <f t="shared" ca="1" si="315"/>
        <v>#N/A</v>
      </c>
      <c r="AD679" s="323" t="e">
        <f t="shared" ca="1" si="316"/>
        <v>#N/A</v>
      </c>
      <c r="AE679" s="324" t="e">
        <f t="shared" ca="1" si="295"/>
        <v>#N/A</v>
      </c>
      <c r="AG679" s="306">
        <f t="shared" ca="1" si="317"/>
        <v>5.1105724506261412</v>
      </c>
      <c r="AH679" s="304">
        <f t="shared" ca="1" si="318"/>
        <v>-4.6525738666143193</v>
      </c>
    </row>
    <row r="680" spans="1:34" x14ac:dyDescent="0.2">
      <c r="A680" s="347">
        <f t="shared" ca="1" si="296"/>
        <v>0.1</v>
      </c>
      <c r="B680" s="304">
        <f t="shared" ca="1" si="297"/>
        <v>31.600000000000136</v>
      </c>
      <c r="D680" s="306">
        <f t="shared" ca="1" si="298"/>
        <v>-0.45484935241608232</v>
      </c>
      <c r="E680" s="307">
        <f t="shared" ca="1" si="299"/>
        <v>-5.1298190190400668</v>
      </c>
      <c r="F680" s="304">
        <f t="shared" ca="1" si="300"/>
        <v>5.1499447668395941</v>
      </c>
      <c r="G680" s="306">
        <f t="shared" ca="1" si="301"/>
        <v>10.334378489206994</v>
      </c>
      <c r="H680" s="307">
        <f t="shared" ca="1" si="302"/>
        <v>-107.31678216240611</v>
      </c>
      <c r="I680" s="304">
        <f t="shared" ca="1" si="303"/>
        <v>107.81322327271135</v>
      </c>
      <c r="J680" s="306">
        <f t="shared" ca="1" si="304"/>
        <v>472.48027596808913</v>
      </c>
      <c r="K680" s="307">
        <f t="shared" ca="1" si="305"/>
        <v>946.14325282313382</v>
      </c>
      <c r="L680" s="304">
        <f t="shared" ca="1" si="290"/>
        <v>1057.5559871900978</v>
      </c>
      <c r="M680" s="306">
        <f t="shared" ca="1" si="306"/>
        <v>-1.4747944683940037</v>
      </c>
      <c r="N680" s="304">
        <f t="shared" ca="1" si="307"/>
        <v>-84.499498688216292</v>
      </c>
      <c r="P680" s="310">
        <f t="shared" ca="1" si="308"/>
        <v>23</v>
      </c>
      <c r="Q680" s="304">
        <f t="shared" ca="1" si="309"/>
        <v>0</v>
      </c>
      <c r="R680" s="306">
        <f t="shared" ca="1" si="310"/>
        <v>0</v>
      </c>
      <c r="S680" s="307">
        <f t="shared" ca="1" si="311"/>
        <v>6.8519999999999914</v>
      </c>
      <c r="T680" s="304">
        <f t="shared" ca="1" si="291"/>
        <v>67.218119999999914</v>
      </c>
      <c r="U680" s="311">
        <f t="shared" ca="1" si="292"/>
        <v>0</v>
      </c>
      <c r="V680" s="306">
        <f t="shared" ca="1" si="293"/>
        <v>1.1143328026340005</v>
      </c>
      <c r="W680" s="304">
        <f t="shared" ca="1" si="294"/>
        <v>32.559317634063447</v>
      </c>
      <c r="Y680" s="314" t="str">
        <f t="shared" ca="1" si="312"/>
        <v/>
      </c>
      <c r="Z680" s="315" t="str">
        <f t="shared" ca="1" si="313"/>
        <v/>
      </c>
      <c r="AA680" s="316" t="str">
        <f t="shared" ca="1" si="314"/>
        <v/>
      </c>
      <c r="AC680" s="310" t="e">
        <f t="shared" ca="1" si="315"/>
        <v>#N/A</v>
      </c>
      <c r="AD680" s="323" t="e">
        <f t="shared" ca="1" si="316"/>
        <v>#N/A</v>
      </c>
      <c r="AE680" s="324" t="e">
        <f t="shared" ca="1" si="295"/>
        <v>#N/A</v>
      </c>
      <c r="AG680" s="306">
        <f t="shared" ca="1" si="317"/>
        <v>5.0617654634650986</v>
      </c>
      <c r="AH680" s="304">
        <f t="shared" ca="1" si="318"/>
        <v>-4.7022315923327742</v>
      </c>
    </row>
    <row r="681" spans="1:34" x14ac:dyDescent="0.2">
      <c r="A681" s="347">
        <f t="shared" ca="1" si="296"/>
        <v>0.1</v>
      </c>
      <c r="B681" s="304">
        <f t="shared" ca="1" si="297"/>
        <v>31.700000000000138</v>
      </c>
      <c r="D681" s="306">
        <f t="shared" ca="1" si="298"/>
        <v>-0.45548100811832637</v>
      </c>
      <c r="E681" s="307">
        <f t="shared" ca="1" si="299"/>
        <v>-5.0800826490535869</v>
      </c>
      <c r="F681" s="304">
        <f t="shared" ca="1" si="300"/>
        <v>5.1004610252379923</v>
      </c>
      <c r="G681" s="306">
        <f t="shared" ca="1" si="301"/>
        <v>10.288830388395162</v>
      </c>
      <c r="H681" s="307">
        <f t="shared" ca="1" si="302"/>
        <v>-107.82479042731147</v>
      </c>
      <c r="I681" s="304">
        <f t="shared" ca="1" si="303"/>
        <v>108.31456717106339</v>
      </c>
      <c r="J681" s="306">
        <f t="shared" ca="1" si="304"/>
        <v>473.51143641196921</v>
      </c>
      <c r="K681" s="307">
        <f t="shared" ca="1" si="305"/>
        <v>935.38617419364789</v>
      </c>
      <c r="L681" s="304">
        <f t="shared" ca="1" si="290"/>
        <v>1048.4084963818043</v>
      </c>
      <c r="M681" s="306">
        <f t="shared" ca="1" si="306"/>
        <v>-1.4756626179076904</v>
      </c>
      <c r="N681" s="304">
        <f t="shared" ca="1" si="307"/>
        <v>-84.549239991336876</v>
      </c>
      <c r="P681" s="310">
        <f t="shared" ca="1" si="308"/>
        <v>23</v>
      </c>
      <c r="Q681" s="304">
        <f t="shared" ca="1" si="309"/>
        <v>0</v>
      </c>
      <c r="R681" s="306">
        <f t="shared" ca="1" si="310"/>
        <v>0</v>
      </c>
      <c r="S681" s="307">
        <f t="shared" ca="1" si="311"/>
        <v>6.8519999999999914</v>
      </c>
      <c r="T681" s="304">
        <f t="shared" ca="1" si="291"/>
        <v>67.218119999999914</v>
      </c>
      <c r="U681" s="311">
        <f t="shared" ca="1" si="292"/>
        <v>0</v>
      </c>
      <c r="V681" s="306">
        <f t="shared" ca="1" si="293"/>
        <v>1.1155348051520857</v>
      </c>
      <c r="W681" s="304">
        <f t="shared" ca="1" si="294"/>
        <v>32.898279134145341</v>
      </c>
      <c r="Y681" s="314" t="str">
        <f t="shared" ca="1" si="312"/>
        <v/>
      </c>
      <c r="Z681" s="315" t="str">
        <f t="shared" ca="1" si="313"/>
        <v/>
      </c>
      <c r="AA681" s="316" t="str">
        <f t="shared" ca="1" si="314"/>
        <v/>
      </c>
      <c r="AC681" s="310" t="e">
        <f t="shared" ca="1" si="315"/>
        <v>#N/A</v>
      </c>
      <c r="AD681" s="323" t="e">
        <f t="shared" ca="1" si="316"/>
        <v>#N/A</v>
      </c>
      <c r="AE681" s="324" t="e">
        <f t="shared" ca="1" si="295"/>
        <v>#N/A</v>
      </c>
      <c r="AG681" s="306">
        <f t="shared" ca="1" si="317"/>
        <v>5.0130308089931788</v>
      </c>
      <c r="AH681" s="304">
        <f t="shared" ca="1" si="318"/>
        <v>-4.751797669886674</v>
      </c>
    </row>
    <row r="682" spans="1:34" x14ac:dyDescent="0.2">
      <c r="A682" s="347">
        <f t="shared" ca="1" si="296"/>
        <v>0.1</v>
      </c>
      <c r="B682" s="304">
        <f t="shared" ca="1" si="297"/>
        <v>31.800000000000139</v>
      </c>
      <c r="D682" s="306">
        <f t="shared" ca="1" si="298"/>
        <v>-0.45607363417595748</v>
      </c>
      <c r="E682" s="307">
        <f t="shared" ca="1" si="299"/>
        <v>-5.0304437075849853</v>
      </c>
      <c r="F682" s="304">
        <f t="shared" ca="1" si="300"/>
        <v>5.0510758314414401</v>
      </c>
      <c r="G682" s="306">
        <f t="shared" ca="1" si="301"/>
        <v>10.243223024977567</v>
      </c>
      <c r="H682" s="307">
        <f t="shared" ca="1" si="302"/>
        <v>-108.32783479806997</v>
      </c>
      <c r="I682" s="304">
        <f t="shared" ca="1" si="303"/>
        <v>108.81104452203999</v>
      </c>
      <c r="J682" s="306">
        <f t="shared" ca="1" si="304"/>
        <v>474.53803908263785</v>
      </c>
      <c r="K682" s="307">
        <f t="shared" ca="1" si="305"/>
        <v>924.57854293237881</v>
      </c>
      <c r="L682" s="304">
        <f t="shared" ca="1" si="290"/>
        <v>1039.2457998892062</v>
      </c>
      <c r="M682" s="306">
        <f t="shared" ca="1" si="306"/>
        <v>-1.4765190150718213</v>
      </c>
      <c r="N682" s="304">
        <f t="shared" ca="1" si="307"/>
        <v>-84.598307934428547</v>
      </c>
      <c r="P682" s="310">
        <f t="shared" ca="1" si="308"/>
        <v>23</v>
      </c>
      <c r="Q682" s="304">
        <f t="shared" ca="1" si="309"/>
        <v>0</v>
      </c>
      <c r="R682" s="306">
        <f t="shared" ca="1" si="310"/>
        <v>0</v>
      </c>
      <c r="S682" s="307">
        <f t="shared" ca="1" si="311"/>
        <v>6.8519999999999914</v>
      </c>
      <c r="T682" s="304">
        <f t="shared" ca="1" si="291"/>
        <v>67.218119999999914</v>
      </c>
      <c r="U682" s="311">
        <f t="shared" ca="1" si="292"/>
        <v>0</v>
      </c>
      <c r="V682" s="306">
        <f t="shared" ca="1" si="293"/>
        <v>1.1167437010481893</v>
      </c>
      <c r="W682" s="304">
        <f t="shared" ca="1" si="294"/>
        <v>33.236538673880993</v>
      </c>
      <c r="Y682" s="314" t="str">
        <f t="shared" ca="1" si="312"/>
        <v/>
      </c>
      <c r="Z682" s="315" t="str">
        <f t="shared" ca="1" si="313"/>
        <v/>
      </c>
      <c r="AA682" s="316" t="str">
        <f t="shared" ca="1" si="314"/>
        <v/>
      </c>
      <c r="AC682" s="310" t="e">
        <f t="shared" ca="1" si="315"/>
        <v>#N/A</v>
      </c>
      <c r="AD682" s="323" t="e">
        <f t="shared" ca="1" si="316"/>
        <v>#N/A</v>
      </c>
      <c r="AE682" s="324" t="e">
        <f t="shared" ca="1" si="295"/>
        <v>#N/A</v>
      </c>
      <c r="AG682" s="306">
        <f t="shared" ca="1" si="317"/>
        <v>4.964374490929373</v>
      </c>
      <c r="AH682" s="304">
        <f t="shared" ca="1" si="318"/>
        <v>-4.8012666570556597</v>
      </c>
    </row>
    <row r="683" spans="1:34" x14ac:dyDescent="0.2">
      <c r="A683" s="347">
        <f t="shared" ca="1" si="296"/>
        <v>0.1</v>
      </c>
      <c r="B683" s="304">
        <f t="shared" ca="1" si="297"/>
        <v>31.900000000000141</v>
      </c>
      <c r="D683" s="306">
        <f t="shared" ca="1" si="298"/>
        <v>-0.45662752232087667</v>
      </c>
      <c r="E683" s="307">
        <f t="shared" ca="1" si="299"/>
        <v>-4.9809075667288569</v>
      </c>
      <c r="F683" s="304">
        <f t="shared" ca="1" si="300"/>
        <v>5.0017945661969847</v>
      </c>
      <c r="G683" s="306">
        <f t="shared" ca="1" si="301"/>
        <v>10.197560272745479</v>
      </c>
      <c r="H683" s="307">
        <f t="shared" ca="1" si="302"/>
        <v>-108.82592555474285</v>
      </c>
      <c r="I683" s="304">
        <f t="shared" ca="1" si="303"/>
        <v>109.30266377523793</v>
      </c>
      <c r="J683" s="306">
        <f t="shared" ca="1" si="304"/>
        <v>475.56007824752402</v>
      </c>
      <c r="K683" s="307">
        <f t="shared" ca="1" si="305"/>
        <v>913.7208549147382</v>
      </c>
      <c r="L683" s="304">
        <f t="shared" ca="1" si="290"/>
        <v>1030.0695067464678</v>
      </c>
      <c r="M683" s="306">
        <f t="shared" ca="1" si="306"/>
        <v>-1.4773639085588921</v>
      </c>
      <c r="N683" s="304">
        <f t="shared" ca="1" si="307"/>
        <v>-84.6467167653758</v>
      </c>
      <c r="P683" s="310">
        <f t="shared" ca="1" si="308"/>
        <v>23</v>
      </c>
      <c r="Q683" s="304">
        <f t="shared" ca="1" si="309"/>
        <v>0</v>
      </c>
      <c r="R683" s="306">
        <f t="shared" ca="1" si="310"/>
        <v>0</v>
      </c>
      <c r="S683" s="307">
        <f t="shared" ca="1" si="311"/>
        <v>6.8519999999999914</v>
      </c>
      <c r="T683" s="304">
        <f t="shared" ca="1" si="291"/>
        <v>67.218119999999914</v>
      </c>
      <c r="U683" s="311">
        <f t="shared" ca="1" si="292"/>
        <v>0</v>
      </c>
      <c r="V683" s="306">
        <f t="shared" ca="1" si="293"/>
        <v>1.1179594542228464</v>
      </c>
      <c r="W683" s="304">
        <f t="shared" ca="1" si="294"/>
        <v>33.574060152023229</v>
      </c>
      <c r="Y683" s="314" t="str">
        <f t="shared" ca="1" si="312"/>
        <v/>
      </c>
      <c r="Z683" s="315" t="str">
        <f t="shared" ca="1" si="313"/>
        <v/>
      </c>
      <c r="AA683" s="316" t="str">
        <f t="shared" ca="1" si="314"/>
        <v/>
      </c>
      <c r="AC683" s="310" t="e">
        <f t="shared" ca="1" si="315"/>
        <v>#N/A</v>
      </c>
      <c r="AD683" s="323" t="e">
        <f t="shared" ca="1" si="316"/>
        <v>#N/A</v>
      </c>
      <c r="AE683" s="324" t="e">
        <f t="shared" ca="1" si="295"/>
        <v>#N/A</v>
      </c>
      <c r="AG683" s="306">
        <f t="shared" ca="1" si="317"/>
        <v>4.9158024062000463</v>
      </c>
      <c r="AH683" s="304">
        <f t="shared" ca="1" si="318"/>
        <v>-4.8506331981729476</v>
      </c>
    </row>
    <row r="684" spans="1:34" x14ac:dyDescent="0.2">
      <c r="A684" s="347">
        <f t="shared" ca="1" si="296"/>
        <v>0.1</v>
      </c>
      <c r="B684" s="304">
        <f t="shared" ca="1" si="297"/>
        <v>32.000000000000142</v>
      </c>
      <c r="D684" s="306">
        <f t="shared" ca="1" si="298"/>
        <v>-0.45714296911147767</v>
      </c>
      <c r="E684" s="307">
        <f t="shared" ca="1" si="299"/>
        <v>-4.9314795113923999</v>
      </c>
      <c r="F684" s="304">
        <f t="shared" ca="1" si="300"/>
        <v>4.9526225240261432</v>
      </c>
      <c r="G684" s="306">
        <f t="shared" ca="1" si="301"/>
        <v>10.15184597583433</v>
      </c>
      <c r="H684" s="307">
        <f t="shared" ca="1" si="302"/>
        <v>-109.31907350588209</v>
      </c>
      <c r="I684" s="304">
        <f t="shared" ca="1" si="303"/>
        <v>109.78943395838014</v>
      </c>
      <c r="J684" s="306">
        <f t="shared" ca="1" si="304"/>
        <v>476.57754855995302</v>
      </c>
      <c r="K684" s="307">
        <f t="shared" ca="1" si="305"/>
        <v>902.81360496170691</v>
      </c>
      <c r="L684" s="304">
        <f t="shared" ca="1" si="290"/>
        <v>1020.8812688532234</v>
      </c>
      <c r="M684" s="306">
        <f t="shared" ca="1" si="306"/>
        <v>-1.4781975399240439</v>
      </c>
      <c r="N684" s="304">
        <f t="shared" ca="1" si="307"/>
        <v>-84.694480324268724</v>
      </c>
      <c r="P684" s="310">
        <f t="shared" ca="1" si="308"/>
        <v>23</v>
      </c>
      <c r="Q684" s="304">
        <f t="shared" ca="1" si="309"/>
        <v>0</v>
      </c>
      <c r="R684" s="306">
        <f t="shared" ca="1" si="310"/>
        <v>0</v>
      </c>
      <c r="S684" s="307">
        <f t="shared" ca="1" si="311"/>
        <v>6.8519999999999914</v>
      </c>
      <c r="T684" s="304">
        <f t="shared" ca="1" si="291"/>
        <v>67.218119999999914</v>
      </c>
      <c r="U684" s="311">
        <f t="shared" ca="1" si="292"/>
        <v>0</v>
      </c>
      <c r="V684" s="306">
        <f t="shared" ca="1" si="293"/>
        <v>1.1191820286035015</v>
      </c>
      <c r="W684" s="304">
        <f t="shared" ca="1" si="294"/>
        <v>33.910808065538276</v>
      </c>
      <c r="Y684" s="314" t="str">
        <f t="shared" ca="1" si="312"/>
        <v/>
      </c>
      <c r="Z684" s="315" t="str">
        <f t="shared" ca="1" si="313"/>
        <v/>
      </c>
      <c r="AA684" s="316" t="str">
        <f t="shared" ca="1" si="314"/>
        <v/>
      </c>
      <c r="AC684" s="310">
        <f t="shared" ca="1" si="315"/>
        <v>32.000000000000142</v>
      </c>
      <c r="AD684" s="323">
        <f t="shared" ca="1" si="316"/>
        <v>476.57754855995302</v>
      </c>
      <c r="AE684" s="324" t="e">
        <f t="shared" ca="1" si="295"/>
        <v>#N/A</v>
      </c>
      <c r="AG684" s="306">
        <f t="shared" ca="1" si="317"/>
        <v>4.8673203454102616</v>
      </c>
      <c r="AH684" s="304">
        <f t="shared" ca="1" si="318"/>
        <v>-4.899892024521785</v>
      </c>
    </row>
    <row r="685" spans="1:34" x14ac:dyDescent="0.2">
      <c r="A685" s="347">
        <f t="shared" ca="1" si="296"/>
        <v>0.1</v>
      </c>
      <c r="B685" s="304">
        <f t="shared" ca="1" si="297"/>
        <v>32.100000000000144</v>
      </c>
      <c r="D685" s="306">
        <f t="shared" ca="1" si="298"/>
        <v>-0.45762027576916736</v>
      </c>
      <c r="E685" s="307">
        <f t="shared" ca="1" si="299"/>
        <v>-4.8821647389375276</v>
      </c>
      <c r="F685" s="304">
        <f t="shared" ca="1" si="300"/>
        <v>4.9035649128893954</v>
      </c>
      <c r="G685" s="306">
        <f t="shared" ca="1" si="301"/>
        <v>10.106083948257414</v>
      </c>
      <c r="H685" s="307">
        <f t="shared" ca="1" si="302"/>
        <v>-109.80728997977585</v>
      </c>
      <c r="I685" s="304">
        <f t="shared" ca="1" si="303"/>
        <v>110.27136466677017</v>
      </c>
      <c r="J685" s="306">
        <f t="shared" ca="1" si="304"/>
        <v>477.59044505615759</v>
      </c>
      <c r="K685" s="307">
        <f t="shared" ca="1" si="305"/>
        <v>891.85728678742407</v>
      </c>
      <c r="L685" s="304">
        <f t="shared" ca="1" si="290"/>
        <v>1011.6827828943044</v>
      </c>
      <c r="M685" s="306">
        <f t="shared" ca="1" si="306"/>
        <v>-1.4790201438561521</v>
      </c>
      <c r="N685" s="304">
        <f t="shared" ca="1" si="307"/>
        <v>-84.741612057789396</v>
      </c>
      <c r="P685" s="310">
        <f t="shared" ca="1" si="308"/>
        <v>23</v>
      </c>
      <c r="Q685" s="304">
        <f t="shared" ca="1" si="309"/>
        <v>0</v>
      </c>
      <c r="R685" s="306">
        <f t="shared" ca="1" si="310"/>
        <v>0</v>
      </c>
      <c r="S685" s="307">
        <f t="shared" ca="1" si="311"/>
        <v>6.8519999999999914</v>
      </c>
      <c r="T685" s="304">
        <f t="shared" ca="1" si="291"/>
        <v>67.218119999999914</v>
      </c>
      <c r="U685" s="311">
        <f t="shared" ca="1" si="292"/>
        <v>0</v>
      </c>
      <c r="V685" s="306">
        <f t="shared" ca="1" si="293"/>
        <v>1.1204113881482871</v>
      </c>
      <c r="W685" s="304">
        <f t="shared" ca="1" si="294"/>
        <v>34.246747511756602</v>
      </c>
      <c r="Y685" s="314" t="str">
        <f t="shared" ca="1" si="312"/>
        <v/>
      </c>
      <c r="Z685" s="315" t="str">
        <f t="shared" ca="1" si="313"/>
        <v/>
      </c>
      <c r="AA685" s="316" t="str">
        <f t="shared" ca="1" si="314"/>
        <v/>
      </c>
      <c r="AC685" s="310" t="e">
        <f t="shared" ca="1" si="315"/>
        <v>#N/A</v>
      </c>
      <c r="AD685" s="323" t="e">
        <f t="shared" ca="1" si="316"/>
        <v>#N/A</v>
      </c>
      <c r="AE685" s="324" t="e">
        <f t="shared" ca="1" si="295"/>
        <v>#N/A</v>
      </c>
      <c r="AG685" s="306">
        <f t="shared" ca="1" si="317"/>
        <v>4.8189339933137205</v>
      </c>
      <c r="AH685" s="304">
        <f t="shared" ca="1" si="318"/>
        <v>-4.9490379546903558</v>
      </c>
    </row>
    <row r="686" spans="1:34" x14ac:dyDescent="0.2">
      <c r="A686" s="347">
        <f t="shared" ca="1" si="296"/>
        <v>0.1</v>
      </c>
      <c r="B686" s="304">
        <f t="shared" ca="1" si="297"/>
        <v>32.200000000000145</v>
      </c>
      <c r="D686" s="306">
        <f t="shared" ca="1" si="298"/>
        <v>-0.45805974801596144</v>
      </c>
      <c r="E686" s="307">
        <f t="shared" ca="1" si="299"/>
        <v>-4.8329683588642025</v>
      </c>
      <c r="F686" s="304">
        <f t="shared" ca="1" si="300"/>
        <v>4.8546268538925821</v>
      </c>
      <c r="G686" s="306">
        <f t="shared" ca="1" si="301"/>
        <v>10.060277973455818</v>
      </c>
      <c r="H686" s="307">
        <f t="shared" ca="1" si="302"/>
        <v>-110.29058681566227</v>
      </c>
      <c r="I686" s="304">
        <f t="shared" ca="1" si="303"/>
        <v>110.7484660527916</v>
      </c>
      <c r="J686" s="306">
        <f t="shared" ca="1" si="304"/>
        <v>478.59876315224324</v>
      </c>
      <c r="K686" s="307">
        <f t="shared" ca="1" si="305"/>
        <v>880.85239294765222</v>
      </c>
      <c r="L686" s="304">
        <f t="shared" ca="1" si="290"/>
        <v>1002.4757923523451</v>
      </c>
      <c r="M686" s="306">
        <f t="shared" ca="1" si="306"/>
        <v>-1.4798319484184164</v>
      </c>
      <c r="N686" s="304">
        <f t="shared" ca="1" si="307"/>
        <v>-84.788125032996604</v>
      </c>
      <c r="P686" s="310">
        <f t="shared" ca="1" si="308"/>
        <v>23</v>
      </c>
      <c r="Q686" s="304">
        <f t="shared" ca="1" si="309"/>
        <v>0</v>
      </c>
      <c r="R686" s="306">
        <f t="shared" ca="1" si="310"/>
        <v>0</v>
      </c>
      <c r="S686" s="307">
        <f t="shared" ca="1" si="311"/>
        <v>6.8519999999999914</v>
      </c>
      <c r="T686" s="304">
        <f t="shared" ca="1" si="291"/>
        <v>67.218119999999914</v>
      </c>
      <c r="U686" s="311">
        <f t="shared" ca="1" si="292"/>
        <v>0</v>
      </c>
      <c r="V686" s="306">
        <f t="shared" ca="1" si="293"/>
        <v>1.1216474968497636</v>
      </c>
      <c r="W686" s="304">
        <f t="shared" ca="1" si="294"/>
        <v>34.581844190246557</v>
      </c>
      <c r="Y686" s="314" t="str">
        <f t="shared" ca="1" si="312"/>
        <v/>
      </c>
      <c r="Z686" s="315" t="str">
        <f t="shared" ca="1" si="313"/>
        <v/>
      </c>
      <c r="AA686" s="316" t="str">
        <f t="shared" ca="1" si="314"/>
        <v/>
      </c>
      <c r="AC686" s="310" t="e">
        <f t="shared" ca="1" si="315"/>
        <v>#N/A</v>
      </c>
      <c r="AD686" s="323" t="e">
        <f t="shared" ca="1" si="316"/>
        <v>#N/A</v>
      </c>
      <c r="AE686" s="324" t="e">
        <f t="shared" ca="1" si="295"/>
        <v>#N/A</v>
      </c>
      <c r="AG686" s="306">
        <f t="shared" ca="1" si="317"/>
        <v>4.7706489292831211</v>
      </c>
      <c r="AH686" s="304">
        <f t="shared" ca="1" si="318"/>
        <v>-4.9980658948856753</v>
      </c>
    </row>
    <row r="687" spans="1:34" x14ac:dyDescent="0.2">
      <c r="A687" s="347">
        <f t="shared" ca="1" si="296"/>
        <v>0.1</v>
      </c>
      <c r="B687" s="304">
        <f t="shared" ca="1" si="297"/>
        <v>32.300000000000146</v>
      </c>
      <c r="D687" s="306">
        <f t="shared" ca="1" si="298"/>
        <v>-0.45846169591320068</v>
      </c>
      <c r="E687" s="307">
        <f t="shared" ca="1" si="299"/>
        <v>-4.783895392534439</v>
      </c>
      <c r="F687" s="304">
        <f t="shared" ca="1" si="300"/>
        <v>4.8058133810346657</v>
      </c>
      <c r="G687" s="306">
        <f t="shared" ca="1" si="301"/>
        <v>10.014431803864499</v>
      </c>
      <c r="H687" s="307">
        <f t="shared" ca="1" si="302"/>
        <v>-110.76897635491571</v>
      </c>
      <c r="I687" s="304">
        <f t="shared" ca="1" si="303"/>
        <v>111.22074881545316</v>
      </c>
      <c r="J687" s="306">
        <f t="shared" ca="1" si="304"/>
        <v>479.60249864110926</v>
      </c>
      <c r="K687" s="307">
        <f t="shared" ca="1" si="305"/>
        <v>869.79941478912338</v>
      </c>
      <c r="L687" s="304">
        <f t="shared" ca="1" si="290"/>
        <v>993.26208961698353</v>
      </c>
      <c r="M687" s="306">
        <f t="shared" ca="1" si="306"/>
        <v>-1.4806331752789588</v>
      </c>
      <c r="N687" s="304">
        <f t="shared" ca="1" si="307"/>
        <v>-84.83403195053819</v>
      </c>
      <c r="P687" s="310">
        <f t="shared" ca="1" si="308"/>
        <v>23</v>
      </c>
      <c r="Q687" s="304">
        <f t="shared" ca="1" si="309"/>
        <v>0</v>
      </c>
      <c r="R687" s="306">
        <f t="shared" ca="1" si="310"/>
        <v>0</v>
      </c>
      <c r="S687" s="307">
        <f t="shared" ca="1" si="311"/>
        <v>6.8519999999999914</v>
      </c>
      <c r="T687" s="304">
        <f t="shared" ca="1" si="291"/>
        <v>67.218119999999914</v>
      </c>
      <c r="U687" s="311">
        <f t="shared" ca="1" si="292"/>
        <v>0</v>
      </c>
      <c r="V687" s="306">
        <f t="shared" ca="1" si="293"/>
        <v>1.1228903187386059</v>
      </c>
      <c r="W687" s="304">
        <f t="shared" ca="1" si="294"/>
        <v>34.916064404414769</v>
      </c>
      <c r="Y687" s="314" t="str">
        <f t="shared" ca="1" si="312"/>
        <v/>
      </c>
      <c r="Z687" s="315" t="str">
        <f t="shared" ca="1" si="313"/>
        <v/>
      </c>
      <c r="AA687" s="316" t="str">
        <f t="shared" ca="1" si="314"/>
        <v/>
      </c>
      <c r="AC687" s="310" t="e">
        <f t="shared" ca="1" si="315"/>
        <v>#N/A</v>
      </c>
      <c r="AD687" s="323" t="e">
        <f t="shared" ca="1" si="316"/>
        <v>#N/A</v>
      </c>
      <c r="AE687" s="324" t="e">
        <f t="shared" ca="1" si="295"/>
        <v>#N/A</v>
      </c>
      <c r="AG687" s="306">
        <f t="shared" ca="1" si="317"/>
        <v>4.7224706277826964</v>
      </c>
      <c r="AH687" s="304">
        <f t="shared" ca="1" si="318"/>
        <v>-5.0469708392070345</v>
      </c>
    </row>
    <row r="688" spans="1:34" x14ac:dyDescent="0.2">
      <c r="A688" s="347">
        <f t="shared" ca="1" si="296"/>
        <v>0.1</v>
      </c>
      <c r="B688" s="304">
        <f t="shared" ca="1" si="297"/>
        <v>32.400000000000148</v>
      </c>
      <c r="D688" s="306">
        <f t="shared" ca="1" si="298"/>
        <v>-0.45882643370142889</v>
      </c>
      <c r="E688" s="307">
        <f t="shared" ca="1" si="299"/>
        <v>-4.7349507729363856</v>
      </c>
      <c r="F688" s="304">
        <f t="shared" ca="1" si="300"/>
        <v>4.7571294409963292</v>
      </c>
      <c r="G688" s="306">
        <f t="shared" ca="1" si="301"/>
        <v>9.968549160494355</v>
      </c>
      <c r="H688" s="307">
        <f t="shared" ca="1" si="302"/>
        <v>-111.24247143220934</v>
      </c>
      <c r="I688" s="304">
        <f t="shared" ca="1" si="303"/>
        <v>111.68822418997942</v>
      </c>
      <c r="J688" s="306">
        <f t="shared" ca="1" si="304"/>
        <v>480.60164768932719</v>
      </c>
      <c r="K688" s="307">
        <f t="shared" ca="1" si="305"/>
        <v>858.69884239976716</v>
      </c>
      <c r="L688" s="304">
        <f t="shared" ca="1" si="290"/>
        <v>984.04351819439182</v>
      </c>
      <c r="M688" s="306">
        <f t="shared" ca="1" si="306"/>
        <v>-1.4814240399319072</v>
      </c>
      <c r="N688" s="304">
        <f t="shared" ca="1" si="307"/>
        <v>-84.879345157318213</v>
      </c>
      <c r="P688" s="310">
        <f t="shared" ca="1" si="308"/>
        <v>23</v>
      </c>
      <c r="Q688" s="304">
        <f t="shared" ca="1" si="309"/>
        <v>0</v>
      </c>
      <c r="R688" s="306">
        <f t="shared" ca="1" si="310"/>
        <v>0</v>
      </c>
      <c r="S688" s="307">
        <f t="shared" ca="1" si="311"/>
        <v>6.8519999999999914</v>
      </c>
      <c r="T688" s="304">
        <f t="shared" ca="1" si="291"/>
        <v>67.218119999999914</v>
      </c>
      <c r="U688" s="311">
        <f t="shared" ca="1" si="292"/>
        <v>0</v>
      </c>
      <c r="V688" s="306">
        <f t="shared" ca="1" si="293"/>
        <v>1.124139817887251</v>
      </c>
      <c r="W688" s="304">
        <f t="shared" ca="1" si="294"/>
        <v>35.249375062837323</v>
      </c>
      <c r="Y688" s="314" t="str">
        <f t="shared" ca="1" si="312"/>
        <v/>
      </c>
      <c r="Z688" s="315" t="str">
        <f t="shared" ca="1" si="313"/>
        <v/>
      </c>
      <c r="AA688" s="316" t="str">
        <f t="shared" ca="1" si="314"/>
        <v/>
      </c>
      <c r="AC688" s="310" t="e">
        <f t="shared" ca="1" si="315"/>
        <v>#N/A</v>
      </c>
      <c r="AD688" s="323" t="e">
        <f t="shared" ca="1" si="316"/>
        <v>#N/A</v>
      </c>
      <c r="AE688" s="324" t="e">
        <f t="shared" ca="1" si="295"/>
        <v>#N/A</v>
      </c>
      <c r="AG688" s="306">
        <f t="shared" ca="1" si="317"/>
        <v>4.6744044588443954</v>
      </c>
      <c r="AH688" s="304">
        <f t="shared" ca="1" si="318"/>
        <v>-5.0957478698795695</v>
      </c>
    </row>
    <row r="689" spans="1:34" x14ac:dyDescent="0.2">
      <c r="A689" s="347">
        <f t="shared" ca="1" si="296"/>
        <v>0.1</v>
      </c>
      <c r="B689" s="304">
        <f t="shared" ca="1" si="297"/>
        <v>32.500000000000149</v>
      </c>
      <c r="D689" s="306">
        <f t="shared" ca="1" si="298"/>
        <v>-0.4591542796414913</v>
      </c>
      <c r="E689" s="307">
        <f t="shared" ca="1" si="299"/>
        <v>-4.6861393444878985</v>
      </c>
      <c r="F689" s="304">
        <f t="shared" ca="1" si="300"/>
        <v>4.708579892968852</v>
      </c>
      <c r="G689" s="306">
        <f t="shared" ca="1" si="301"/>
        <v>9.9226337325302065</v>
      </c>
      <c r="H689" s="307">
        <f t="shared" ca="1" si="302"/>
        <v>-111.71108536665812</v>
      </c>
      <c r="I689" s="304">
        <f t="shared" ca="1" si="303"/>
        <v>112.15090393744816</v>
      </c>
      <c r="J689" s="306">
        <f t="shared" ca="1" si="304"/>
        <v>481.59620683397844</v>
      </c>
      <c r="K689" s="307">
        <f t="shared" ca="1" si="305"/>
        <v>847.55116455982375</v>
      </c>
      <c r="L689" s="304">
        <f t="shared" ca="1" si="290"/>
        <v>974.8219750208699</v>
      </c>
      <c r="M689" s="306">
        <f t="shared" ca="1" si="306"/>
        <v>-1.4822047519094186</v>
      </c>
      <c r="N689" s="304">
        <f t="shared" ca="1" si="307"/>
        <v>-84.924076658644935</v>
      </c>
      <c r="P689" s="310">
        <f t="shared" ca="1" si="308"/>
        <v>23</v>
      </c>
      <c r="Q689" s="304">
        <f t="shared" ca="1" si="309"/>
        <v>0</v>
      </c>
      <c r="R689" s="306">
        <f t="shared" ca="1" si="310"/>
        <v>0</v>
      </c>
      <c r="S689" s="307">
        <f t="shared" ca="1" si="311"/>
        <v>6.8519999999999914</v>
      </c>
      <c r="T689" s="304">
        <f t="shared" ca="1" si="291"/>
        <v>67.218119999999914</v>
      </c>
      <c r="U689" s="311">
        <f t="shared" ca="1" si="292"/>
        <v>0</v>
      </c>
      <c r="V689" s="306">
        <f t="shared" ca="1" si="293"/>
        <v>1.1253959584134969</v>
      </c>
      <c r="W689" s="304">
        <f t="shared" ca="1" si="294"/>
        <v>35.581743680325914</v>
      </c>
      <c r="Y689" s="314" t="str">
        <f t="shared" ca="1" si="312"/>
        <v/>
      </c>
      <c r="Z689" s="315" t="str">
        <f t="shared" ca="1" si="313"/>
        <v/>
      </c>
      <c r="AA689" s="316" t="str">
        <f t="shared" ca="1" si="314"/>
        <v/>
      </c>
      <c r="AC689" s="310" t="e">
        <f t="shared" ca="1" si="315"/>
        <v>#N/A</v>
      </c>
      <c r="AD689" s="323" t="e">
        <f t="shared" ca="1" si="316"/>
        <v>#N/A</v>
      </c>
      <c r="AE689" s="324" t="e">
        <f t="shared" ca="1" si="295"/>
        <v>#N/A</v>
      </c>
      <c r="AG689" s="306">
        <f t="shared" ca="1" si="317"/>
        <v>4.6264556885492087</v>
      </c>
      <c r="AH689" s="304">
        <f t="shared" ca="1" si="318"/>
        <v>-5.1443921574485358</v>
      </c>
    </row>
    <row r="690" spans="1:34" x14ac:dyDescent="0.2">
      <c r="A690" s="347">
        <f t="shared" ca="1" si="296"/>
        <v>0.1</v>
      </c>
      <c r="B690" s="304">
        <f t="shared" ca="1" si="297"/>
        <v>32.600000000000151</v>
      </c>
      <c r="D690" s="306">
        <f t="shared" ca="1" si="298"/>
        <v>-0.45944555585689167</v>
      </c>
      <c r="E690" s="307">
        <f t="shared" ca="1" si="299"/>
        <v>-4.6374658628789938</v>
      </c>
      <c r="F690" s="304">
        <f t="shared" ca="1" si="300"/>
        <v>4.6601695085226948</v>
      </c>
      <c r="G690" s="306">
        <f t="shared" ca="1" si="301"/>
        <v>9.8766891769445166</v>
      </c>
      <c r="H690" s="307">
        <f t="shared" ca="1" si="302"/>
        <v>-112.17483195294602</v>
      </c>
      <c r="I690" s="304">
        <f t="shared" ca="1" si="303"/>
        <v>112.60880033447499</v>
      </c>
      <c r="J690" s="306">
        <f t="shared" ca="1" si="304"/>
        <v>482.58617297945216</v>
      </c>
      <c r="K690" s="307">
        <f t="shared" ca="1" si="305"/>
        <v>836.35686869384358</v>
      </c>
      <c r="L690" s="304">
        <f t="shared" ca="1" si="290"/>
        <v>965.5994128842068</v>
      </c>
      <c r="M690" s="306">
        <f t="shared" ca="1" si="306"/>
        <v>-1.4829755149850714</v>
      </c>
      <c r="N690" s="304">
        <f t="shared" ca="1" si="307"/>
        <v>-84.968238129884355</v>
      </c>
      <c r="P690" s="310">
        <f t="shared" ca="1" si="308"/>
        <v>23</v>
      </c>
      <c r="Q690" s="304">
        <f t="shared" ca="1" si="309"/>
        <v>0</v>
      </c>
      <c r="R690" s="306">
        <f t="shared" ca="1" si="310"/>
        <v>0</v>
      </c>
      <c r="S690" s="307">
        <f t="shared" ca="1" si="311"/>
        <v>6.8519999999999914</v>
      </c>
      <c r="T690" s="304">
        <f t="shared" ca="1" si="291"/>
        <v>67.218119999999914</v>
      </c>
      <c r="U690" s="311">
        <f t="shared" ca="1" si="292"/>
        <v>0</v>
      </c>
      <c r="V690" s="306">
        <f t="shared" ca="1" si="293"/>
        <v>1.1266587044840546</v>
      </c>
      <c r="W690" s="304">
        <f t="shared" ca="1" si="294"/>
        <v>35.913138378733059</v>
      </c>
      <c r="Y690" s="314" t="str">
        <f t="shared" ca="1" si="312"/>
        <v/>
      </c>
      <c r="Z690" s="315" t="str">
        <f t="shared" ca="1" si="313"/>
        <v/>
      </c>
      <c r="AA690" s="316" t="str">
        <f t="shared" ca="1" si="314"/>
        <v/>
      </c>
      <c r="AC690" s="310" t="e">
        <f t="shared" ca="1" si="315"/>
        <v>#N/A</v>
      </c>
      <c r="AD690" s="323" t="e">
        <f t="shared" ca="1" si="316"/>
        <v>#N/A</v>
      </c>
      <c r="AE690" s="324" t="e">
        <f t="shared" ca="1" si="295"/>
        <v>#N/A</v>
      </c>
      <c r="AG690" s="306">
        <f t="shared" ca="1" si="317"/>
        <v>4.5786294795147908</v>
      </c>
      <c r="AH690" s="304">
        <f t="shared" ca="1" si="318"/>
        <v>-5.1928989609349037</v>
      </c>
    </row>
    <row r="691" spans="1:34" x14ac:dyDescent="0.2">
      <c r="A691" s="347">
        <f t="shared" ca="1" si="296"/>
        <v>0.1</v>
      </c>
      <c r="B691" s="304">
        <f t="shared" ca="1" si="297"/>
        <v>32.700000000000152</v>
      </c>
      <c r="D691" s="306">
        <f t="shared" ca="1" si="298"/>
        <v>-0.45970058817744913</v>
      </c>
      <c r="E691" s="307">
        <f t="shared" ca="1" si="299"/>
        <v>-4.5889349949525586</v>
      </c>
      <c r="F691" s="304">
        <f t="shared" ca="1" si="300"/>
        <v>4.6119029715152218</v>
      </c>
      <c r="G691" s="306">
        <f t="shared" ca="1" si="301"/>
        <v>9.8307191181267726</v>
      </c>
      <c r="H691" s="307">
        <f t="shared" ca="1" si="302"/>
        <v>-112.63372545244128</v>
      </c>
      <c r="I691" s="304">
        <f t="shared" ca="1" si="303"/>
        <v>113.06192616294587</v>
      </c>
      <c r="J691" s="306">
        <f t="shared" ca="1" si="304"/>
        <v>483.57154339420572</v>
      </c>
      <c r="K691" s="307">
        <f t="shared" ca="1" si="305"/>
        <v>825.11644082357418</v>
      </c>
      <c r="L691" s="304">
        <f t="shared" ca="1" si="290"/>
        <v>956.37784295644201</v>
      </c>
      <c r="M691" s="306">
        <f t="shared" ca="1" si="306"/>
        <v>-1.4837365273690317</v>
      </c>
      <c r="N691" s="304">
        <f t="shared" ca="1" si="307"/>
        <v>-85.011840927642481</v>
      </c>
      <c r="P691" s="310">
        <f t="shared" ca="1" si="308"/>
        <v>23</v>
      </c>
      <c r="Q691" s="304">
        <f t="shared" ca="1" si="309"/>
        <v>0</v>
      </c>
      <c r="R691" s="306">
        <f t="shared" ca="1" si="310"/>
        <v>0</v>
      </c>
      <c r="S691" s="307">
        <f t="shared" ca="1" si="311"/>
        <v>6.8519999999999914</v>
      </c>
      <c r="T691" s="304">
        <f t="shared" ca="1" si="291"/>
        <v>67.218119999999914</v>
      </c>
      <c r="U691" s="311">
        <f t="shared" ca="1" si="292"/>
        <v>0</v>
      </c>
      <c r="V691" s="306">
        <f t="shared" ca="1" si="293"/>
        <v>1.1279280203180553</v>
      </c>
      <c r="W691" s="304">
        <f t="shared" ca="1" si="294"/>
        <v>36.243527887500839</v>
      </c>
      <c r="Y691" s="314" t="str">
        <f t="shared" ca="1" si="312"/>
        <v/>
      </c>
      <c r="Z691" s="315" t="str">
        <f t="shared" ca="1" si="313"/>
        <v/>
      </c>
      <c r="AA691" s="316" t="str">
        <f t="shared" ca="1" si="314"/>
        <v/>
      </c>
      <c r="AC691" s="310" t="e">
        <f t="shared" ca="1" si="315"/>
        <v>#N/A</v>
      </c>
      <c r="AD691" s="323" t="e">
        <f t="shared" ca="1" si="316"/>
        <v>#N/A</v>
      </c>
      <c r="AE691" s="324" t="e">
        <f t="shared" ca="1" si="295"/>
        <v>#N/A</v>
      </c>
      <c r="AG691" s="306">
        <f t="shared" ca="1" si="317"/>
        <v>4.5309308913906019</v>
      </c>
      <c r="AH691" s="304">
        <f t="shared" ca="1" si="318"/>
        <v>-5.2412636279528755</v>
      </c>
    </row>
    <row r="692" spans="1:34" x14ac:dyDescent="0.2">
      <c r="A692" s="347">
        <f t="shared" ca="1" si="296"/>
        <v>0.1</v>
      </c>
      <c r="B692" s="304">
        <f t="shared" ca="1" si="297"/>
        <v>32.800000000000153</v>
      </c>
      <c r="D692" s="306">
        <f t="shared" ca="1" si="298"/>
        <v>-0.45991970598430654</v>
      </c>
      <c r="E692" s="307">
        <f t="shared" ca="1" si="299"/>
        <v>-4.5405513186226818</v>
      </c>
      <c r="F692" s="304">
        <f t="shared" ca="1" si="300"/>
        <v>4.5637848780369641</v>
      </c>
      <c r="G692" s="306">
        <f t="shared" ca="1" si="301"/>
        <v>9.7847271475283417</v>
      </c>
      <c r="H692" s="307">
        <f t="shared" ca="1" si="302"/>
        <v>-113.08778058430354</v>
      </c>
      <c r="I692" s="304">
        <f t="shared" ca="1" si="303"/>
        <v>113.51029469979875</v>
      </c>
      <c r="J692" s="306">
        <f t="shared" ca="1" si="304"/>
        <v>484.55231570748845</v>
      </c>
      <c r="K692" s="307">
        <f t="shared" ca="1" si="305"/>
        <v>813.83036552173689</v>
      </c>
      <c r="L692" s="304">
        <f t="shared" ca="1" si="290"/>
        <v>947.15933744155927</v>
      </c>
      <c r="M692" s="306">
        <f t="shared" ca="1" si="306"/>
        <v>-1.4844879818953782</v>
      </c>
      <c r="N692" s="304">
        <f t="shared" ca="1" si="307"/>
        <v>-85.054896100498141</v>
      </c>
      <c r="P692" s="310">
        <f t="shared" ca="1" si="308"/>
        <v>23</v>
      </c>
      <c r="Q692" s="304">
        <f t="shared" ca="1" si="309"/>
        <v>0</v>
      </c>
      <c r="R692" s="306">
        <f t="shared" ca="1" si="310"/>
        <v>0</v>
      </c>
      <c r="S692" s="307">
        <f t="shared" ca="1" si="311"/>
        <v>6.8519999999999914</v>
      </c>
      <c r="T692" s="304">
        <f t="shared" ca="1" si="291"/>
        <v>67.218119999999914</v>
      </c>
      <c r="U692" s="311">
        <f t="shared" ca="1" si="292"/>
        <v>0</v>
      </c>
      <c r="V692" s="306">
        <f t="shared" ca="1" si="293"/>
        <v>1.1292038701905085</v>
      </c>
      <c r="W692" s="304">
        <f t="shared" ca="1" si="294"/>
        <v>36.572881543957486</v>
      </c>
      <c r="Y692" s="314" t="str">
        <f t="shared" ca="1" si="312"/>
        <v/>
      </c>
      <c r="Z692" s="315" t="str">
        <f t="shared" ca="1" si="313"/>
        <v/>
      </c>
      <c r="AA692" s="316" t="str">
        <f t="shared" ca="1" si="314"/>
        <v/>
      </c>
      <c r="AC692" s="310" t="e">
        <f t="shared" ca="1" si="315"/>
        <v>#N/A</v>
      </c>
      <c r="AD692" s="323" t="e">
        <f t="shared" ca="1" si="316"/>
        <v>#N/A</v>
      </c>
      <c r="AE692" s="324" t="e">
        <f t="shared" ca="1" si="295"/>
        <v>#N/A</v>
      </c>
      <c r="AG692" s="306">
        <f t="shared" ca="1" si="317"/>
        <v>4.4833648813615481</v>
      </c>
      <c r="AH692" s="304">
        <f t="shared" ca="1" si="318"/>
        <v>-5.2894815947899714</v>
      </c>
    </row>
    <row r="693" spans="1:34" x14ac:dyDescent="0.2">
      <c r="A693" s="347">
        <f t="shared" ca="1" si="296"/>
        <v>0.1</v>
      </c>
      <c r="B693" s="304">
        <f t="shared" ca="1" si="297"/>
        <v>32.900000000000155</v>
      </c>
      <c r="D693" s="306">
        <f t="shared" ca="1" si="298"/>
        <v>-0.46010324205632658</v>
      </c>
      <c r="E693" s="307">
        <f t="shared" ca="1" si="299"/>
        <v>-4.4923193228299647</v>
      </c>
      <c r="F693" s="304">
        <f t="shared" ca="1" si="300"/>
        <v>4.5158197363958426</v>
      </c>
      <c r="G693" s="306">
        <f t="shared" ca="1" si="301"/>
        <v>9.7387168233227097</v>
      </c>
      <c r="H693" s="307">
        <f t="shared" ca="1" si="302"/>
        <v>-113.53701251658654</v>
      </c>
      <c r="I693" s="304">
        <f t="shared" ca="1" si="303"/>
        <v>113.95391970685519</v>
      </c>
      <c r="J693" s="306">
        <f t="shared" ca="1" si="304"/>
        <v>485.52848790603099</v>
      </c>
      <c r="K693" s="307">
        <f t="shared" ca="1" si="305"/>
        <v>802.49912586669234</v>
      </c>
      <c r="L693" s="304">
        <f t="shared" ca="1" si="290"/>
        <v>937.94603234147871</v>
      </c>
      <c r="M693" s="306">
        <f t="shared" ca="1" si="306"/>
        <v>-1.4852300662019493</v>
      </c>
      <c r="N693" s="304">
        <f t="shared" ca="1" si="307"/>
        <v>-85.097414399307553</v>
      </c>
      <c r="P693" s="310">
        <f t="shared" ca="1" si="308"/>
        <v>23</v>
      </c>
      <c r="Q693" s="304">
        <f t="shared" ca="1" si="309"/>
        <v>0</v>
      </c>
      <c r="R693" s="306">
        <f t="shared" ca="1" si="310"/>
        <v>0</v>
      </c>
      <c r="S693" s="307">
        <f t="shared" ca="1" si="311"/>
        <v>6.8519999999999914</v>
      </c>
      <c r="T693" s="304">
        <f t="shared" ca="1" si="291"/>
        <v>67.218119999999914</v>
      </c>
      <c r="U693" s="311">
        <f t="shared" ca="1" si="292"/>
        <v>0</v>
      </c>
      <c r="V693" s="306">
        <f t="shared" ca="1" si="293"/>
        <v>1.130486218435715</v>
      </c>
      <c r="W693" s="304">
        <f t="shared" ca="1" si="294"/>
        <v>36.901169293366245</v>
      </c>
      <c r="Y693" s="314" t="str">
        <f t="shared" ca="1" si="312"/>
        <v/>
      </c>
      <c r="Z693" s="315" t="str">
        <f t="shared" ca="1" si="313"/>
        <v/>
      </c>
      <c r="AA693" s="316" t="str">
        <f t="shared" ca="1" si="314"/>
        <v/>
      </c>
      <c r="AC693" s="310" t="e">
        <f t="shared" ca="1" si="315"/>
        <v>#N/A</v>
      </c>
      <c r="AD693" s="323" t="e">
        <f t="shared" ca="1" si="316"/>
        <v>#N/A</v>
      </c>
      <c r="AE693" s="324" t="e">
        <f t="shared" ca="1" si="295"/>
        <v>#N/A</v>
      </c>
      <c r="AG693" s="306">
        <f t="shared" ca="1" si="317"/>
        <v>4.4359363046610119</v>
      </c>
      <c r="AH693" s="304">
        <f t="shared" ca="1" si="318"/>
        <v>-5.3375483864503108</v>
      </c>
    </row>
    <row r="694" spans="1:34" x14ac:dyDescent="0.2">
      <c r="A694" s="347">
        <f t="shared" ca="1" si="296"/>
        <v>0.1</v>
      </c>
      <c r="B694" s="304">
        <f t="shared" ca="1" si="297"/>
        <v>33.000000000000156</v>
      </c>
      <c r="D694" s="306">
        <f t="shared" ca="1" si="298"/>
        <v>-0.46025153241792133</v>
      </c>
      <c r="E694" s="307">
        <f t="shared" ca="1" si="299"/>
        <v>-4.4442434075331514</v>
      </c>
      <c r="F694" s="304">
        <f t="shared" ca="1" si="300"/>
        <v>4.4680119671387324</v>
      </c>
      <c r="G694" s="306">
        <f t="shared" ca="1" si="301"/>
        <v>9.6926916700809169</v>
      </c>
      <c r="H694" s="307">
        <f t="shared" ca="1" si="302"/>
        <v>-113.98143685733986</v>
      </c>
      <c r="I694" s="304">
        <f t="shared" ca="1" si="303"/>
        <v>114.39281542070292</v>
      </c>
      <c r="J694" s="306">
        <f t="shared" ca="1" si="304"/>
        <v>486.50005833070117</v>
      </c>
      <c r="K694" s="307">
        <f t="shared" ca="1" si="305"/>
        <v>791.12320339799601</v>
      </c>
      <c r="L694" s="304">
        <f t="shared" ca="1" si="290"/>
        <v>928.7401303435114</v>
      </c>
      <c r="M694" s="306">
        <f t="shared" ca="1" si="306"/>
        <v>-1.4859629629030575</v>
      </c>
      <c r="N694" s="304">
        <f t="shared" ca="1" si="307"/>
        <v>-85.139406287100115</v>
      </c>
      <c r="P694" s="310">
        <f t="shared" ca="1" si="308"/>
        <v>23</v>
      </c>
      <c r="Q694" s="304">
        <f t="shared" ca="1" si="309"/>
        <v>0</v>
      </c>
      <c r="R694" s="306">
        <f t="shared" ca="1" si="310"/>
        <v>0</v>
      </c>
      <c r="S694" s="307">
        <f t="shared" ca="1" si="311"/>
        <v>6.8519999999999914</v>
      </c>
      <c r="T694" s="304">
        <f t="shared" ca="1" si="291"/>
        <v>67.218119999999914</v>
      </c>
      <c r="U694" s="311">
        <f t="shared" ca="1" si="292"/>
        <v>0</v>
      </c>
      <c r="V694" s="306">
        <f t="shared" ca="1" si="293"/>
        <v>1.1317750294506304</v>
      </c>
      <c r="W694" s="304">
        <f t="shared" ca="1" si="294"/>
        <v>37.22836168873112</v>
      </c>
      <c r="Y694" s="314" t="str">
        <f t="shared" ca="1" si="312"/>
        <v/>
      </c>
      <c r="Z694" s="315" t="str">
        <f t="shared" ca="1" si="313"/>
        <v/>
      </c>
      <c r="AA694" s="316" t="str">
        <f t="shared" ca="1" si="314"/>
        <v/>
      </c>
      <c r="AC694" s="310">
        <f t="shared" ca="1" si="315"/>
        <v>33.000000000000156</v>
      </c>
      <c r="AD694" s="323">
        <f t="shared" ca="1" si="316"/>
        <v>486.50005833070117</v>
      </c>
      <c r="AE694" s="324" t="e">
        <f t="shared" ca="1" si="295"/>
        <v>#N/A</v>
      </c>
      <c r="AG694" s="306">
        <f t="shared" ca="1" si="317"/>
        <v>4.3886499150941036</v>
      </c>
      <c r="AH694" s="304">
        <f t="shared" ca="1" si="318"/>
        <v>-5.3854596166617474</v>
      </c>
    </row>
    <row r="695" spans="1:34" x14ac:dyDescent="0.2">
      <c r="A695" s="347">
        <f t="shared" ca="1" si="296"/>
        <v>0.1</v>
      </c>
      <c r="B695" s="304">
        <f t="shared" ca="1" si="297"/>
        <v>33.100000000000158</v>
      </c>
      <c r="D695" s="306">
        <f t="shared" ca="1" si="298"/>
        <v>-0.46036491618835396</v>
      </c>
      <c r="E695" s="307">
        <f t="shared" ca="1" si="299"/>
        <v>-4.396327883736415</v>
      </c>
      <c r="F695" s="304">
        <f t="shared" ca="1" si="300"/>
        <v>4.420365903109766</v>
      </c>
      <c r="G695" s="306">
        <f t="shared" ca="1" si="301"/>
        <v>9.6466551784620815</v>
      </c>
      <c r="H695" s="307">
        <f t="shared" ca="1" si="302"/>
        <v>-114.4210696457135</v>
      </c>
      <c r="I695" s="304">
        <f t="shared" ca="1" si="303"/>
        <v>114.82699654263091</v>
      </c>
      <c r="J695" s="306">
        <f t="shared" ca="1" si="304"/>
        <v>487.46702567312832</v>
      </c>
      <c r="K695" s="307">
        <f t="shared" ca="1" si="305"/>
        <v>779.70307807284337</v>
      </c>
      <c r="L695" s="304">
        <f t="shared" ca="1" si="290"/>
        <v>919.54390383215139</v>
      </c>
      <c r="M695" s="306">
        <f t="shared" ca="1" si="306"/>
        <v>-1.4866868497553982</v>
      </c>
      <c r="N695" s="304">
        <f t="shared" ca="1" si="307"/>
        <v>-85.180881948584243</v>
      </c>
      <c r="P695" s="310">
        <f t="shared" ca="1" si="308"/>
        <v>23</v>
      </c>
      <c r="Q695" s="304">
        <f t="shared" ca="1" si="309"/>
        <v>0</v>
      </c>
      <c r="R695" s="306">
        <f t="shared" ca="1" si="310"/>
        <v>0</v>
      </c>
      <c r="S695" s="307">
        <f t="shared" ca="1" si="311"/>
        <v>6.8519999999999914</v>
      </c>
      <c r="T695" s="304">
        <f t="shared" ca="1" si="291"/>
        <v>67.218119999999914</v>
      </c>
      <c r="U695" s="311">
        <f t="shared" ca="1" si="292"/>
        <v>0</v>
      </c>
      <c r="V695" s="306">
        <f t="shared" ca="1" si="293"/>
        <v>1.1330702676981839</v>
      </c>
      <c r="W695" s="304">
        <f t="shared" ca="1" si="294"/>
        <v>37.55442989036424</v>
      </c>
      <c r="Y695" s="314" t="str">
        <f t="shared" ca="1" si="312"/>
        <v/>
      </c>
      <c r="Z695" s="315" t="str">
        <f t="shared" ca="1" si="313"/>
        <v/>
      </c>
      <c r="AA695" s="316" t="str">
        <f t="shared" ca="1" si="314"/>
        <v/>
      </c>
      <c r="AC695" s="310" t="e">
        <f t="shared" ca="1" si="315"/>
        <v>#N/A</v>
      </c>
      <c r="AD695" s="323" t="e">
        <f t="shared" ca="1" si="316"/>
        <v>#N/A</v>
      </c>
      <c r="AE695" s="324" t="e">
        <f t="shared" ca="1" si="295"/>
        <v>#N/A</v>
      </c>
      <c r="AG695" s="306">
        <f t="shared" ca="1" si="317"/>
        <v>4.3415103655718417</v>
      </c>
      <c r="AH695" s="304">
        <f t="shared" ca="1" si="318"/>
        <v>-5.4332109878475139</v>
      </c>
    </row>
    <row r="696" spans="1:34" x14ac:dyDescent="0.2">
      <c r="A696" s="347">
        <f t="shared" ca="1" si="296"/>
        <v>0.1</v>
      </c>
      <c r="B696" s="304">
        <f t="shared" ca="1" si="297"/>
        <v>33.200000000000159</v>
      </c>
      <c r="D696" s="306">
        <f t="shared" ca="1" si="298"/>
        <v>-0.46044373543255318</v>
      </c>
      <c r="E696" s="307">
        <f t="shared" ca="1" si="299"/>
        <v>-4.3485769735515829</v>
      </c>
      <c r="F696" s="304">
        <f t="shared" ca="1" si="300"/>
        <v>4.3728857895447177</v>
      </c>
      <c r="G696" s="306">
        <f t="shared" ca="1" si="301"/>
        <v>9.6006108049188263</v>
      </c>
      <c r="H696" s="307">
        <f t="shared" ca="1" si="302"/>
        <v>-114.85592734306866</v>
      </c>
      <c r="I696" s="304">
        <f t="shared" ca="1" si="303"/>
        <v>115.25647822861755</v>
      </c>
      <c r="J696" s="306">
        <f t="shared" ca="1" si="304"/>
        <v>488.42938897229737</v>
      </c>
      <c r="K696" s="307">
        <f t="shared" ca="1" si="305"/>
        <v>768.23922822340421</v>
      </c>
      <c r="L696" s="304">
        <f t="shared" ca="1" si="290"/>
        <v>910.35969802773207</v>
      </c>
      <c r="M696" s="306">
        <f t="shared" ca="1" si="306"/>
        <v>-1.4874018998174618</v>
      </c>
      <c r="N696" s="304">
        <f t="shared" ca="1" si="307"/>
        <v>-85.221851299281056</v>
      </c>
      <c r="P696" s="310">
        <f t="shared" ca="1" si="308"/>
        <v>23</v>
      </c>
      <c r="Q696" s="304">
        <f t="shared" ca="1" si="309"/>
        <v>0</v>
      </c>
      <c r="R696" s="306">
        <f t="shared" ca="1" si="310"/>
        <v>0</v>
      </c>
      <c r="S696" s="307">
        <f t="shared" ca="1" si="311"/>
        <v>6.8519999999999914</v>
      </c>
      <c r="T696" s="304">
        <f t="shared" ca="1" si="291"/>
        <v>67.218119999999914</v>
      </c>
      <c r="U696" s="311">
        <f t="shared" ca="1" si="292"/>
        <v>0</v>
      </c>
      <c r="V696" s="306">
        <f t="shared" ca="1" si="293"/>
        <v>1.1343718977105435</v>
      </c>
      <c r="W696" s="304">
        <f t="shared" ca="1" si="294"/>
        <v>37.879345665218963</v>
      </c>
      <c r="Y696" s="314" t="str">
        <f t="shared" ca="1" si="312"/>
        <v/>
      </c>
      <c r="Z696" s="315" t="str">
        <f t="shared" ca="1" si="313"/>
        <v/>
      </c>
      <c r="AA696" s="316" t="str">
        <f t="shared" ca="1" si="314"/>
        <v/>
      </c>
      <c r="AC696" s="310" t="e">
        <f t="shared" ca="1" si="315"/>
        <v>#N/A</v>
      </c>
      <c r="AD696" s="323" t="e">
        <f t="shared" ca="1" si="316"/>
        <v>#N/A</v>
      </c>
      <c r="AE696" s="324" t="e">
        <f t="shared" ca="1" si="295"/>
        <v>#N/A</v>
      </c>
      <c r="AG696" s="306">
        <f t="shared" ca="1" si="317"/>
        <v>4.2945222086568409</v>
      </c>
      <c r="AH696" s="304">
        <f t="shared" ca="1" si="318"/>
        <v>-5.4807982910630892</v>
      </c>
    </row>
    <row r="697" spans="1:34" x14ac:dyDescent="0.2">
      <c r="A697" s="347">
        <f t="shared" ca="1" si="296"/>
        <v>0.1</v>
      </c>
      <c r="B697" s="304">
        <f t="shared" ca="1" si="297"/>
        <v>33.300000000000161</v>
      </c>
      <c r="D697" s="306">
        <f t="shared" ca="1" si="298"/>
        <v>-0.46048833501347469</v>
      </c>
      <c r="E697" s="307">
        <f t="shared" ca="1" si="299"/>
        <v>-4.3009948102947231</v>
      </c>
      <c r="F697" s="304">
        <f t="shared" ca="1" si="300"/>
        <v>4.3255757842009457</v>
      </c>
      <c r="G697" s="306">
        <f t="shared" ca="1" si="301"/>
        <v>9.5545619714174794</v>
      </c>
      <c r="H697" s="307">
        <f t="shared" ca="1" si="302"/>
        <v>-115.28602682409813</v>
      </c>
      <c r="I697" s="304">
        <f t="shared" ca="1" si="303"/>
        <v>115.68127607937393</v>
      </c>
      <c r="J697" s="306">
        <f t="shared" ca="1" si="304"/>
        <v>489.38714761111419</v>
      </c>
      <c r="K697" s="307">
        <f t="shared" ca="1" si="305"/>
        <v>756.73213051504592</v>
      </c>
      <c r="L697" s="304">
        <f t="shared" ca="1" si="290"/>
        <v>901.18993425403005</v>
      </c>
      <c r="M697" s="306">
        <f t="shared" ca="1" si="306"/>
        <v>-1.4881082816027447</v>
      </c>
      <c r="N697" s="304">
        <f t="shared" ca="1" si="307"/>
        <v>-85.262323994302676</v>
      </c>
      <c r="P697" s="310">
        <f t="shared" ca="1" si="308"/>
        <v>23</v>
      </c>
      <c r="Q697" s="304">
        <f t="shared" ca="1" si="309"/>
        <v>0</v>
      </c>
      <c r="R697" s="306">
        <f t="shared" ca="1" si="310"/>
        <v>0</v>
      </c>
      <c r="S697" s="307">
        <f t="shared" ca="1" si="311"/>
        <v>6.8519999999999914</v>
      </c>
      <c r="T697" s="304">
        <f t="shared" ca="1" si="291"/>
        <v>67.218119999999914</v>
      </c>
      <c r="U697" s="311">
        <f t="shared" ca="1" si="292"/>
        <v>0</v>
      </c>
      <c r="V697" s="306">
        <f t="shared" ca="1" si="293"/>
        <v>1.1356798840923394</v>
      </c>
      <c r="W697" s="304">
        <f t="shared" ca="1" si="294"/>
        <v>38.203081385994402</v>
      </c>
      <c r="Y697" s="314" t="str">
        <f t="shared" ca="1" si="312"/>
        <v/>
      </c>
      <c r="Z697" s="315" t="str">
        <f t="shared" ca="1" si="313"/>
        <v/>
      </c>
      <c r="AA697" s="316" t="str">
        <f t="shared" ca="1" si="314"/>
        <v/>
      </c>
      <c r="AC697" s="310" t="e">
        <f t="shared" ca="1" si="315"/>
        <v>#N/A</v>
      </c>
      <c r="AD697" s="323" t="e">
        <f t="shared" ca="1" si="316"/>
        <v>#N/A</v>
      </c>
      <c r="AE697" s="324" t="e">
        <f t="shared" ca="1" si="295"/>
        <v>#N/A</v>
      </c>
      <c r="AG697" s="306">
        <f t="shared" ca="1" si="317"/>
        <v>4.2476898971210995</v>
      </c>
      <c r="AH697" s="304">
        <f t="shared" ca="1" si="318"/>
        <v>-5.5282174058988636</v>
      </c>
    </row>
    <row r="698" spans="1:34" x14ac:dyDescent="0.2">
      <c r="A698" s="347">
        <f t="shared" ca="1" si="296"/>
        <v>0.1</v>
      </c>
      <c r="B698" s="304">
        <f t="shared" ca="1" si="297"/>
        <v>33.400000000000162</v>
      </c>
      <c r="D698" s="306">
        <f t="shared" ca="1" si="298"/>
        <v>-0.4604990624460526</v>
      </c>
      <c r="E698" s="307">
        <f t="shared" ca="1" si="299"/>
        <v>-4.2535854386162368</v>
      </c>
      <c r="F698" s="304">
        <f t="shared" ca="1" si="300"/>
        <v>4.2784399575221084</v>
      </c>
      <c r="G698" s="306">
        <f t="shared" ca="1" si="301"/>
        <v>9.5085120651728747</v>
      </c>
      <c r="H698" s="307">
        <f t="shared" ca="1" si="302"/>
        <v>-115.71138536795975</v>
      </c>
      <c r="I698" s="304">
        <f t="shared" ca="1" si="303"/>
        <v>116.10140613044284</v>
      </c>
      <c r="J698" s="306">
        <f t="shared" ca="1" si="304"/>
        <v>490.34030131294372</v>
      </c>
      <c r="K698" s="307">
        <f t="shared" ca="1" si="305"/>
        <v>745.18225990544306</v>
      </c>
      <c r="L698" s="304">
        <f t="shared" ca="1" si="290"/>
        <v>892.03711333635204</v>
      </c>
      <c r="M698" s="306">
        <f t="shared" ca="1" si="306"/>
        <v>-1.4888061592270363</v>
      </c>
      <c r="N698" s="304">
        <f t="shared" ca="1" si="307"/>
        <v>-85.302309436791205</v>
      </c>
      <c r="P698" s="310">
        <f t="shared" ca="1" si="308"/>
        <v>23</v>
      </c>
      <c r="Q698" s="304">
        <f t="shared" ca="1" si="309"/>
        <v>0</v>
      </c>
      <c r="R698" s="306">
        <f t="shared" ca="1" si="310"/>
        <v>0</v>
      </c>
      <c r="S698" s="307">
        <f t="shared" ca="1" si="311"/>
        <v>6.8519999999999914</v>
      </c>
      <c r="T698" s="304">
        <f t="shared" ca="1" si="291"/>
        <v>67.218119999999914</v>
      </c>
      <c r="U698" s="311">
        <f t="shared" ca="1" si="292"/>
        <v>0</v>
      </c>
      <c r="V698" s="306">
        <f t="shared" ca="1" si="293"/>
        <v>1.1369941915238371</v>
      </c>
      <c r="W698" s="304">
        <f t="shared" ca="1" si="294"/>
        <v>38.525610030015173</v>
      </c>
      <c r="Y698" s="314" t="str">
        <f t="shared" ca="1" si="312"/>
        <v/>
      </c>
      <c r="Z698" s="315" t="str">
        <f t="shared" ca="1" si="313"/>
        <v/>
      </c>
      <c r="AA698" s="316" t="str">
        <f t="shared" ca="1" si="314"/>
        <v/>
      </c>
      <c r="AC698" s="310" t="e">
        <f t="shared" ca="1" si="315"/>
        <v>#N/A</v>
      </c>
      <c r="AD698" s="323" t="e">
        <f t="shared" ca="1" si="316"/>
        <v>#N/A</v>
      </c>
      <c r="AE698" s="324" t="e">
        <f t="shared" ca="1" si="295"/>
        <v>#N/A</v>
      </c>
      <c r="AG698" s="306">
        <f t="shared" ca="1" si="317"/>
        <v>4.2010177845162504</v>
      </c>
      <c r="AH698" s="304">
        <f t="shared" ca="1" si="318"/>
        <v>-5.5754643003494531</v>
      </c>
    </row>
    <row r="699" spans="1:34" x14ac:dyDescent="0.2">
      <c r="A699" s="347">
        <f t="shared" ca="1" si="296"/>
        <v>0.1</v>
      </c>
      <c r="B699" s="304">
        <f t="shared" ca="1" si="297"/>
        <v>33.500000000000163</v>
      </c>
      <c r="D699" s="306">
        <f t="shared" ca="1" si="298"/>
        <v>-0.4604762677527679</v>
      </c>
      <c r="E699" s="307">
        <f t="shared" ca="1" si="299"/>
        <v>-4.2063528146638989</v>
      </c>
      <c r="F699" s="304">
        <f t="shared" ca="1" si="300"/>
        <v>4.2314822928371587</v>
      </c>
      <c r="G699" s="306">
        <f t="shared" ca="1" si="301"/>
        <v>9.462464438397598</v>
      </c>
      <c r="H699" s="307">
        <f t="shared" ca="1" si="302"/>
        <v>-116.13202064942614</v>
      </c>
      <c r="I699" s="304">
        <f t="shared" ca="1" si="303"/>
        <v>116.51688484235527</v>
      </c>
      <c r="J699" s="306">
        <f t="shared" ca="1" si="304"/>
        <v>491.28885013812226</v>
      </c>
      <c r="K699" s="307">
        <f t="shared" ca="1" si="305"/>
        <v>733.59008960457379</v>
      </c>
      <c r="L699" s="304">
        <f t="shared" ca="1" si="290"/>
        <v>882.90381913098827</v>
      </c>
      <c r="M699" s="306">
        <f t="shared" ca="1" si="306"/>
        <v>-1.4894956925500473</v>
      </c>
      <c r="N699" s="304">
        <f t="shared" ca="1" si="307"/>
        <v>-85.341816786033363</v>
      </c>
      <c r="P699" s="310">
        <f t="shared" ca="1" si="308"/>
        <v>23</v>
      </c>
      <c r="Q699" s="304">
        <f t="shared" ca="1" si="309"/>
        <v>0</v>
      </c>
      <c r="R699" s="306">
        <f t="shared" ca="1" si="310"/>
        <v>0</v>
      </c>
      <c r="S699" s="307">
        <f t="shared" ca="1" si="311"/>
        <v>6.8519999999999914</v>
      </c>
      <c r="T699" s="304">
        <f t="shared" ca="1" si="291"/>
        <v>67.218119999999914</v>
      </c>
      <c r="U699" s="311">
        <f t="shared" ca="1" si="292"/>
        <v>0</v>
      </c>
      <c r="V699" s="306">
        <f t="shared" ca="1" si="293"/>
        <v>1.138314784764056</v>
      </c>
      <c r="W699" s="304">
        <f t="shared" ca="1" si="294"/>
        <v>38.846905177891664</v>
      </c>
      <c r="Y699" s="314" t="str">
        <f t="shared" ca="1" si="312"/>
        <v/>
      </c>
      <c r="Z699" s="315" t="str">
        <f t="shared" ca="1" si="313"/>
        <v/>
      </c>
      <c r="AA699" s="316" t="str">
        <f t="shared" ca="1" si="314"/>
        <v/>
      </c>
      <c r="AC699" s="310" t="e">
        <f t="shared" ca="1" si="315"/>
        <v>#N/A</v>
      </c>
      <c r="AD699" s="323" t="e">
        <f t="shared" ca="1" si="316"/>
        <v>#N/A</v>
      </c>
      <c r="AE699" s="324" t="e">
        <f t="shared" ca="1" si="295"/>
        <v>#N/A</v>
      </c>
      <c r="AG699" s="306">
        <f t="shared" ca="1" si="317"/>
        <v>4.1545101257567678</v>
      </c>
      <c r="AH699" s="304">
        <f t="shared" ca="1" si="318"/>
        <v>-5.6225350306502078</v>
      </c>
    </row>
    <row r="700" spans="1:34" x14ac:dyDescent="0.2">
      <c r="A700" s="347">
        <f t="shared" ca="1" si="296"/>
        <v>0.1</v>
      </c>
      <c r="B700" s="304">
        <f t="shared" ca="1" si="297"/>
        <v>33.600000000000165</v>
      </c>
      <c r="D700" s="306">
        <f t="shared" ca="1" si="298"/>
        <v>-0.46042030332088163</v>
      </c>
      <c r="E700" s="307">
        <f t="shared" ca="1" si="299"/>
        <v>-4.1593008062780825</v>
      </c>
      <c r="F700" s="304">
        <f t="shared" ca="1" si="300"/>
        <v>4.184706686592933</v>
      </c>
      <c r="G700" s="306">
        <f t="shared" ca="1" si="301"/>
        <v>9.4164224080655092</v>
      </c>
      <c r="H700" s="307">
        <f t="shared" ca="1" si="302"/>
        <v>-116.54795073005394</v>
      </c>
      <c r="I700" s="304">
        <f t="shared" ca="1" si="303"/>
        <v>116.92772909084567</v>
      </c>
      <c r="J700" s="306">
        <f t="shared" ca="1" si="304"/>
        <v>492.23279448044542</v>
      </c>
      <c r="K700" s="307">
        <f t="shared" ca="1" si="305"/>
        <v>721.9560910355998</v>
      </c>
      <c r="L700" s="304">
        <f t="shared" ca="1" si="290"/>
        <v>873.79272218612095</v>
      </c>
      <c r="M700" s="306">
        <f t="shared" ca="1" si="306"/>
        <v>-1.4901770373116316</v>
      </c>
      <c r="N700" s="304">
        <f t="shared" ca="1" si="307"/>
        <v>-85.380854965265499</v>
      </c>
      <c r="P700" s="310">
        <f t="shared" ca="1" si="308"/>
        <v>23</v>
      </c>
      <c r="Q700" s="304">
        <f t="shared" ca="1" si="309"/>
        <v>0</v>
      </c>
      <c r="R700" s="306">
        <f t="shared" ca="1" si="310"/>
        <v>0</v>
      </c>
      <c r="S700" s="307">
        <f t="shared" ca="1" si="311"/>
        <v>6.8519999999999914</v>
      </c>
      <c r="T700" s="304">
        <f t="shared" ca="1" si="291"/>
        <v>67.218119999999914</v>
      </c>
      <c r="U700" s="311">
        <f t="shared" ca="1" si="292"/>
        <v>0</v>
      </c>
      <c r="V700" s="306">
        <f t="shared" ca="1" si="293"/>
        <v>1.1396416286538504</v>
      </c>
      <c r="W700" s="304">
        <f t="shared" ca="1" si="294"/>
        <v>39.166941011965882</v>
      </c>
      <c r="Y700" s="314" t="str">
        <f t="shared" ca="1" si="312"/>
        <v/>
      </c>
      <c r="Z700" s="315" t="str">
        <f t="shared" ca="1" si="313"/>
        <v/>
      </c>
      <c r="AA700" s="316" t="str">
        <f t="shared" ca="1" si="314"/>
        <v/>
      </c>
      <c r="AC700" s="310" t="e">
        <f t="shared" ca="1" si="315"/>
        <v>#N/A</v>
      </c>
      <c r="AD700" s="323" t="e">
        <f t="shared" ca="1" si="316"/>
        <v>#N/A</v>
      </c>
      <c r="AE700" s="324" t="e">
        <f t="shared" ca="1" si="295"/>
        <v>#N/A</v>
      </c>
      <c r="AG700" s="306">
        <f t="shared" ca="1" si="317"/>
        <v>4.1081710777163538</v>
      </c>
      <c r="AH700" s="304">
        <f t="shared" ca="1" si="318"/>
        <v>-5.6694257410816862</v>
      </c>
    </row>
    <row r="701" spans="1:34" x14ac:dyDescent="0.2">
      <c r="A701" s="347">
        <f t="shared" ca="1" si="296"/>
        <v>0.1</v>
      </c>
      <c r="B701" s="304">
        <f t="shared" ca="1" si="297"/>
        <v>33.700000000000166</v>
      </c>
      <c r="D701" s="306">
        <f t="shared" ca="1" si="298"/>
        <v>-0.46033152376134928</v>
      </c>
      <c r="E701" s="307">
        <f t="shared" ca="1" si="299"/>
        <v>-4.1124331932184113</v>
      </c>
      <c r="F701" s="304">
        <f t="shared" ca="1" si="300"/>
        <v>4.1381169486196283</v>
      </c>
      <c r="G701" s="306">
        <f t="shared" ca="1" si="301"/>
        <v>9.3703892556893749</v>
      </c>
      <c r="H701" s="307">
        <f t="shared" ca="1" si="302"/>
        <v>-116.95919404937578</v>
      </c>
      <c r="I701" s="304">
        <f t="shared" ca="1" si="303"/>
        <v>117.33395615712733</v>
      </c>
      <c r="J701" s="306">
        <f t="shared" ca="1" si="304"/>
        <v>493.17213506363316</v>
      </c>
      <c r="K701" s="307">
        <f t="shared" ca="1" si="305"/>
        <v>710.28073379662828</v>
      </c>
      <c r="L701" s="304">
        <f t="shared" ca="1" si="290"/>
        <v>864.70658353333897</v>
      </c>
      <c r="M701" s="306">
        <f t="shared" ca="1" si="306"/>
        <v>-1.4908503452628381</v>
      </c>
      <c r="N701" s="304">
        <f t="shared" ca="1" si="307"/>
        <v>-85.419432669182228</v>
      </c>
      <c r="P701" s="310">
        <f t="shared" ca="1" si="308"/>
        <v>23</v>
      </c>
      <c r="Q701" s="304">
        <f t="shared" ca="1" si="309"/>
        <v>0</v>
      </c>
      <c r="R701" s="306">
        <f t="shared" ca="1" si="310"/>
        <v>0</v>
      </c>
      <c r="S701" s="307">
        <f t="shared" ca="1" si="311"/>
        <v>6.8519999999999914</v>
      </c>
      <c r="T701" s="304">
        <f t="shared" ca="1" si="291"/>
        <v>67.218119999999914</v>
      </c>
      <c r="U701" s="311">
        <f t="shared" ca="1" si="292"/>
        <v>0</v>
      </c>
      <c r="V701" s="306">
        <f t="shared" ca="1" si="293"/>
        <v>1.1409746881189318</v>
      </c>
      <c r="W701" s="304">
        <f t="shared" ca="1" si="294"/>
        <v>39.485692314547265</v>
      </c>
      <c r="Y701" s="314" t="str">
        <f t="shared" ca="1" si="312"/>
        <v/>
      </c>
      <c r="Z701" s="315" t="str">
        <f t="shared" ca="1" si="313"/>
        <v/>
      </c>
      <c r="AA701" s="316" t="str">
        <f t="shared" ca="1" si="314"/>
        <v/>
      </c>
      <c r="AC701" s="310" t="e">
        <f t="shared" ca="1" si="315"/>
        <v>#N/A</v>
      </c>
      <c r="AD701" s="323" t="e">
        <f t="shared" ca="1" si="316"/>
        <v>#N/A</v>
      </c>
      <c r="AE701" s="324" t="e">
        <f t="shared" ca="1" si="295"/>
        <v>#N/A</v>
      </c>
      <c r="AG701" s="306">
        <f t="shared" ca="1" si="317"/>
        <v>4.0620046998377681</v>
      </c>
      <c r="AH701" s="304">
        <f t="shared" ca="1" si="318"/>
        <v>-5.7161326637428385</v>
      </c>
    </row>
    <row r="702" spans="1:34" x14ac:dyDescent="0.2">
      <c r="A702" s="347">
        <f t="shared" ca="1" si="296"/>
        <v>0.1</v>
      </c>
      <c r="B702" s="304">
        <f t="shared" ca="1" si="297"/>
        <v>33.800000000000168</v>
      </c>
      <c r="D702" s="306">
        <f t="shared" ca="1" si="298"/>
        <v>-0.46021028576946488</v>
      </c>
      <c r="E702" s="307">
        <f t="shared" ca="1" si="299"/>
        <v>-4.0657536674212027</v>
      </c>
      <c r="F702" s="304">
        <f t="shared" ca="1" si="300"/>
        <v>4.0917168024286541</v>
      </c>
      <c r="G702" s="306">
        <f t="shared" ca="1" si="301"/>
        <v>9.3243682271124282</v>
      </c>
      <c r="H702" s="307">
        <f t="shared" ca="1" si="302"/>
        <v>-117.3657694161179</v>
      </c>
      <c r="I702" s="304">
        <f t="shared" ca="1" si="303"/>
        <v>117.73558371822914</v>
      </c>
      <c r="J702" s="306">
        <f t="shared" ca="1" si="304"/>
        <v>494.10687293777323</v>
      </c>
      <c r="K702" s="307">
        <f t="shared" ca="1" si="305"/>
        <v>698.56448562335356</v>
      </c>
      <c r="L702" s="304">
        <f t="shared" ca="1" si="290"/>
        <v>855.64825860780275</v>
      </c>
      <c r="M702" s="306">
        <f t="shared" ca="1" si="306"/>
        <v>-1.4915157642920225</v>
      </c>
      <c r="N702" s="304">
        <f t="shared" ca="1" si="307"/>
        <v>-85.457558371162179</v>
      </c>
      <c r="P702" s="310">
        <f t="shared" ca="1" si="308"/>
        <v>23</v>
      </c>
      <c r="Q702" s="304">
        <f t="shared" ca="1" si="309"/>
        <v>0</v>
      </c>
      <c r="R702" s="306">
        <f t="shared" ca="1" si="310"/>
        <v>0</v>
      </c>
      <c r="S702" s="307">
        <f t="shared" ca="1" si="311"/>
        <v>6.8519999999999914</v>
      </c>
      <c r="T702" s="304">
        <f t="shared" ca="1" si="291"/>
        <v>67.218119999999914</v>
      </c>
      <c r="U702" s="311">
        <f t="shared" ca="1" si="292"/>
        <v>0</v>
      </c>
      <c r="V702" s="306">
        <f t="shared" ca="1" si="293"/>
        <v>1.1423139281728469</v>
      </c>
      <c r="W702" s="304">
        <f t="shared" ca="1" si="294"/>
        <v>39.803134465943685</v>
      </c>
      <c r="Y702" s="314" t="str">
        <f t="shared" ca="1" si="312"/>
        <v/>
      </c>
      <c r="Z702" s="315" t="str">
        <f t="shared" ca="1" si="313"/>
        <v/>
      </c>
      <c r="AA702" s="316" t="str">
        <f t="shared" ca="1" si="314"/>
        <v/>
      </c>
      <c r="AC702" s="310" t="e">
        <f t="shared" ca="1" si="315"/>
        <v>#N/A</v>
      </c>
      <c r="AD702" s="323" t="e">
        <f t="shared" ca="1" si="316"/>
        <v>#N/A</v>
      </c>
      <c r="AE702" s="324" t="e">
        <f t="shared" ca="1" si="295"/>
        <v>#N/A</v>
      </c>
      <c r="AG702" s="306">
        <f t="shared" ca="1" si="317"/>
        <v>4.0160149547563178</v>
      </c>
      <c r="AH702" s="304">
        <f t="shared" ca="1" si="318"/>
        <v>-5.7626521182935369</v>
      </c>
    </row>
    <row r="703" spans="1:34" x14ac:dyDescent="0.2">
      <c r="A703" s="347">
        <f t="shared" ca="1" si="296"/>
        <v>0.1</v>
      </c>
      <c r="B703" s="304">
        <f t="shared" ca="1" si="297"/>
        <v>33.900000000000169</v>
      </c>
      <c r="D703" s="306">
        <f t="shared" ca="1" si="298"/>
        <v>-0.460056947987243</v>
      </c>
      <c r="E703" s="307">
        <f t="shared" ca="1" si="299"/>
        <v>-4.0192658332869291</v>
      </c>
      <c r="F703" s="304">
        <f t="shared" ca="1" si="300"/>
        <v>4.0455098855421188</v>
      </c>
      <c r="G703" s="306">
        <f t="shared" ca="1" si="301"/>
        <v>9.2783625323137038</v>
      </c>
      <c r="H703" s="307">
        <f t="shared" ca="1" si="302"/>
        <v>-117.76769599944659</v>
      </c>
      <c r="I703" s="304">
        <f t="shared" ca="1" si="303"/>
        <v>118.13262983739553</v>
      </c>
      <c r="J703" s="306">
        <f t="shared" ca="1" si="304"/>
        <v>495.03700947574453</v>
      </c>
      <c r="K703" s="307">
        <f t="shared" ca="1" si="305"/>
        <v>686.8078123525753</v>
      </c>
      <c r="L703" s="304">
        <f t="shared" ca="1" si="290"/>
        <v>846.62070129380766</v>
      </c>
      <c r="M703" s="306">
        <f t="shared" ca="1" si="306"/>
        <v>-1.4921734385462304</v>
      </c>
      <c r="N703" s="304">
        <f t="shared" ca="1" si="307"/>
        <v>-85.495240330222714</v>
      </c>
      <c r="P703" s="310">
        <f t="shared" ca="1" si="308"/>
        <v>23</v>
      </c>
      <c r="Q703" s="304">
        <f t="shared" ca="1" si="309"/>
        <v>0</v>
      </c>
      <c r="R703" s="306">
        <f t="shared" ca="1" si="310"/>
        <v>0</v>
      </c>
      <c r="S703" s="307">
        <f t="shared" ca="1" si="311"/>
        <v>6.8519999999999914</v>
      </c>
      <c r="T703" s="304">
        <f t="shared" ca="1" si="291"/>
        <v>67.218119999999914</v>
      </c>
      <c r="U703" s="311">
        <f t="shared" ca="1" si="292"/>
        <v>0</v>
      </c>
      <c r="V703" s="306">
        <f t="shared" ca="1" si="293"/>
        <v>1.1436593139199061</v>
      </c>
      <c r="W703" s="304">
        <f t="shared" ca="1" si="294"/>
        <v>40.119243442292699</v>
      </c>
      <c r="Y703" s="314" t="str">
        <f t="shared" ca="1" si="312"/>
        <v/>
      </c>
      <c r="Z703" s="315" t="str">
        <f t="shared" ca="1" si="313"/>
        <v/>
      </c>
      <c r="AA703" s="316" t="str">
        <f t="shared" ca="1" si="314"/>
        <v/>
      </c>
      <c r="AC703" s="310" t="e">
        <f t="shared" ca="1" si="315"/>
        <v>#N/A</v>
      </c>
      <c r="AD703" s="323" t="e">
        <f t="shared" ca="1" si="316"/>
        <v>#N/A</v>
      </c>
      <c r="AE703" s="324" t="e">
        <f t="shared" ca="1" si="295"/>
        <v>#N/A</v>
      </c>
      <c r="AG703" s="306">
        <f t="shared" ca="1" si="317"/>
        <v>3.9702057089371419</v>
      </c>
      <c r="AH703" s="304">
        <f t="shared" ca="1" si="318"/>
        <v>-5.8089805116672117</v>
      </c>
    </row>
    <row r="704" spans="1:34" x14ac:dyDescent="0.2">
      <c r="A704" s="347">
        <f t="shared" ca="1" si="296"/>
        <v>0.1</v>
      </c>
      <c r="B704" s="304">
        <f t="shared" ca="1" si="297"/>
        <v>34.000000000000171</v>
      </c>
      <c r="D704" s="306">
        <f t="shared" ca="1" si="298"/>
        <v>-0.45987187086759912</v>
      </c>
      <c r="E704" s="307">
        <f t="shared" ca="1" si="299"/>
        <v>-3.9729732079969695</v>
      </c>
      <c r="F704" s="304">
        <f t="shared" ca="1" si="300"/>
        <v>3.9994997498533484</v>
      </c>
      <c r="G704" s="306">
        <f t="shared" ca="1" si="301"/>
        <v>9.2323753452269433</v>
      </c>
      <c r="H704" s="307">
        <f t="shared" ca="1" si="302"/>
        <v>-118.16499332024628</v>
      </c>
      <c r="I704" s="304">
        <f t="shared" ca="1" si="303"/>
        <v>118.52511295455069</v>
      </c>
      <c r="J704" s="306">
        <f t="shared" ca="1" si="304"/>
        <v>495.96254636962158</v>
      </c>
      <c r="K704" s="307">
        <f t="shared" ca="1" si="305"/>
        <v>675.01117788659064</v>
      </c>
      <c r="L704" s="304">
        <f t="shared" ca="1" si="290"/>
        <v>837.62696809097633</v>
      </c>
      <c r="M704" s="306">
        <f t="shared" ca="1" si="306"/>
        <v>-1.492823508548061</v>
      </c>
      <c r="N704" s="304">
        <f t="shared" ca="1" si="307"/>
        <v>-85.532486597715675</v>
      </c>
      <c r="P704" s="310">
        <f t="shared" ca="1" si="308"/>
        <v>23</v>
      </c>
      <c r="Q704" s="304">
        <f t="shared" ca="1" si="309"/>
        <v>0</v>
      </c>
      <c r="R704" s="306">
        <f t="shared" ca="1" si="310"/>
        <v>0</v>
      </c>
      <c r="S704" s="307">
        <f t="shared" ca="1" si="311"/>
        <v>6.8519999999999914</v>
      </c>
      <c r="T704" s="304">
        <f t="shared" ca="1" si="291"/>
        <v>67.218119999999914</v>
      </c>
      <c r="U704" s="311">
        <f t="shared" ca="1" si="292"/>
        <v>0</v>
      </c>
      <c r="V704" s="306">
        <f t="shared" ca="1" si="293"/>
        <v>1.1450108105580625</v>
      </c>
      <c r="W704" s="304">
        <f t="shared" ca="1" si="294"/>
        <v>40.433995813197825</v>
      </c>
      <c r="Y704" s="314" t="str">
        <f t="shared" ca="1" si="312"/>
        <v/>
      </c>
      <c r="Z704" s="315" t="str">
        <f t="shared" ca="1" si="313"/>
        <v/>
      </c>
      <c r="AA704" s="316" t="str">
        <f t="shared" ca="1" si="314"/>
        <v/>
      </c>
      <c r="AC704" s="310">
        <f t="shared" ca="1" si="315"/>
        <v>34.000000000000171</v>
      </c>
      <c r="AD704" s="323">
        <f t="shared" ca="1" si="316"/>
        <v>495.96254636962158</v>
      </c>
      <c r="AE704" s="324" t="e">
        <f t="shared" ca="1" si="295"/>
        <v>#N/A</v>
      </c>
      <c r="AG704" s="306">
        <f t="shared" ca="1" si="317"/>
        <v>3.9245807333263025</v>
      </c>
      <c r="AH704" s="304">
        <f t="shared" ca="1" si="318"/>
        <v>-5.8551143377543413</v>
      </c>
    </row>
    <row r="705" spans="1:34" x14ac:dyDescent="0.2">
      <c r="A705" s="347">
        <f t="shared" ca="1" si="296"/>
        <v>0.1</v>
      </c>
      <c r="B705" s="304">
        <f t="shared" ca="1" si="297"/>
        <v>34.100000000000172</v>
      </c>
      <c r="D705" s="306">
        <f t="shared" ca="1" si="298"/>
        <v>-0.45965541654032155</v>
      </c>
      <c r="E705" s="307">
        <f t="shared" ca="1" si="299"/>
        <v>-3.9268792218589219</v>
      </c>
      <c r="F705" s="304">
        <f t="shared" ca="1" si="300"/>
        <v>3.9536898620177823</v>
      </c>
      <c r="G705" s="306">
        <f t="shared" ca="1" si="301"/>
        <v>9.1864098035729107</v>
      </c>
      <c r="H705" s="307">
        <f t="shared" ca="1" si="302"/>
        <v>-118.55768124243217</v>
      </c>
      <c r="I705" s="304">
        <f t="shared" ca="1" si="303"/>
        <v>118.91305187682862</v>
      </c>
      <c r="J705" s="306">
        <f t="shared" ca="1" si="304"/>
        <v>496.88348562706159</v>
      </c>
      <c r="K705" s="307">
        <f t="shared" ca="1" si="305"/>
        <v>663.17504415845667</v>
      </c>
      <c r="L705" s="304">
        <f t="shared" ca="1" si="290"/>
        <v>828.67022239457197</v>
      </c>
      <c r="M705" s="306">
        <f t="shared" ca="1" si="306"/>
        <v>-1.4934661113082026</v>
      </c>
      <c r="N705" s="304">
        <f t="shared" ca="1" si="307"/>
        <v>-85.569305023775243</v>
      </c>
      <c r="P705" s="310">
        <f t="shared" ca="1" si="308"/>
        <v>23</v>
      </c>
      <c r="Q705" s="304">
        <f t="shared" ca="1" si="309"/>
        <v>0</v>
      </c>
      <c r="R705" s="306">
        <f t="shared" ca="1" si="310"/>
        <v>0</v>
      </c>
      <c r="S705" s="307">
        <f t="shared" ca="1" si="311"/>
        <v>6.8519999999999914</v>
      </c>
      <c r="T705" s="304">
        <f t="shared" ca="1" si="291"/>
        <v>67.218119999999914</v>
      </c>
      <c r="U705" s="311">
        <f t="shared" ca="1" si="292"/>
        <v>0</v>
      </c>
      <c r="V705" s="306">
        <f t="shared" ca="1" si="293"/>
        <v>1.1463683833817424</v>
      </c>
      <c r="W705" s="304">
        <f t="shared" ca="1" si="294"/>
        <v>40.747368739174945</v>
      </c>
      <c r="Y705" s="314" t="str">
        <f t="shared" ca="1" si="312"/>
        <v/>
      </c>
      <c r="Z705" s="315" t="str">
        <f t="shared" ca="1" si="313"/>
        <v/>
      </c>
      <c r="AA705" s="316" t="str">
        <f t="shared" ca="1" si="314"/>
        <v/>
      </c>
      <c r="AC705" s="310" t="e">
        <f t="shared" ca="1" si="315"/>
        <v>#N/A</v>
      </c>
      <c r="AD705" s="323" t="e">
        <f t="shared" ca="1" si="316"/>
        <v>#N/A</v>
      </c>
      <c r="AE705" s="324" t="e">
        <f t="shared" ca="1" si="295"/>
        <v>#N/A</v>
      </c>
      <c r="AG705" s="306">
        <f t="shared" ca="1" si="317"/>
        <v>3.8791437040157959</v>
      </c>
      <c r="AH705" s="304">
        <f t="shared" ca="1" si="318"/>
        <v>-5.901050177057483</v>
      </c>
    </row>
    <row r="706" spans="1:34" x14ac:dyDescent="0.2">
      <c r="A706" s="347">
        <f t="shared" ca="1" si="296"/>
        <v>0.1</v>
      </c>
      <c r="B706" s="304">
        <f t="shared" ca="1" si="297"/>
        <v>34.200000000000173</v>
      </c>
      <c r="D706" s="306">
        <f t="shared" ca="1" si="298"/>
        <v>-0.45940794867988405</v>
      </c>
      <c r="E706" s="307">
        <f t="shared" ca="1" si="299"/>
        <v>-3.8809872186797616</v>
      </c>
      <c r="F706" s="304">
        <f t="shared" ca="1" si="300"/>
        <v>3.9080836038736342</v>
      </c>
      <c r="G706" s="306">
        <f t="shared" ca="1" si="301"/>
        <v>9.1404690087049225</v>
      </c>
      <c r="H706" s="307">
        <f t="shared" ca="1" si="302"/>
        <v>-118.94577996430014</v>
      </c>
      <c r="I706" s="304">
        <f t="shared" ca="1" si="303"/>
        <v>119.29646576917021</v>
      </c>
      <c r="J706" s="306">
        <f t="shared" ca="1" si="304"/>
        <v>497.79982956767549</v>
      </c>
      <c r="K706" s="307">
        <f t="shared" ca="1" si="305"/>
        <v>651.29987109812009</v>
      </c>
      <c r="L706" s="304">
        <f t="shared" ca="1" si="290"/>
        <v>819.75373888140007</v>
      </c>
      <c r="M706" s="306">
        <f t="shared" ca="1" si="306"/>
        <v>-1.4941013804338261</v>
      </c>
      <c r="N706" s="304">
        <f t="shared" ca="1" si="307"/>
        <v>-85.605703263528426</v>
      </c>
      <c r="P706" s="310">
        <f t="shared" ca="1" si="308"/>
        <v>23</v>
      </c>
      <c r="Q706" s="304">
        <f t="shared" ca="1" si="309"/>
        <v>0</v>
      </c>
      <c r="R706" s="306">
        <f t="shared" ca="1" si="310"/>
        <v>0</v>
      </c>
      <c r="S706" s="307">
        <f t="shared" ca="1" si="311"/>
        <v>6.8519999999999914</v>
      </c>
      <c r="T706" s="304">
        <f t="shared" ca="1" si="291"/>
        <v>67.218119999999914</v>
      </c>
      <c r="U706" s="311">
        <f t="shared" ca="1" si="292"/>
        <v>0</v>
      </c>
      <c r="V706" s="306">
        <f t="shared" ca="1" si="293"/>
        <v>1.1477319977846245</v>
      </c>
      <c r="W706" s="304">
        <f t="shared" ca="1" si="294"/>
        <v>41.059339968913655</v>
      </c>
      <c r="Y706" s="314" t="str">
        <f t="shared" ca="1" si="312"/>
        <v/>
      </c>
      <c r="Z706" s="315" t="str">
        <f t="shared" ca="1" si="313"/>
        <v/>
      </c>
      <c r="AA706" s="316" t="str">
        <f t="shared" ca="1" si="314"/>
        <v/>
      </c>
      <c r="AC706" s="310" t="e">
        <f t="shared" ca="1" si="315"/>
        <v>#N/A</v>
      </c>
      <c r="AD706" s="323" t="e">
        <f t="shared" ca="1" si="316"/>
        <v>#N/A</v>
      </c>
      <c r="AE706" s="324" t="e">
        <f t="shared" ca="1" si="295"/>
        <v>#N/A</v>
      </c>
      <c r="AG706" s="306">
        <f t="shared" ca="1" si="317"/>
        <v>3.833898202922442</v>
      </c>
      <c r="AH706" s="304">
        <f t="shared" ca="1" si="318"/>
        <v>-5.9467846963185922</v>
      </c>
    </row>
    <row r="707" spans="1:34" x14ac:dyDescent="0.2">
      <c r="A707" s="347">
        <f t="shared" ca="1" si="296"/>
        <v>0.1</v>
      </c>
      <c r="B707" s="304">
        <f t="shared" ca="1" si="297"/>
        <v>34.300000000000175</v>
      </c>
      <c r="D707" s="306">
        <f t="shared" ca="1" si="298"/>
        <v>-0.45912983237512006</v>
      </c>
      <c r="E707" s="307">
        <f t="shared" ca="1" si="299"/>
        <v>-3.8353004561661201</v>
      </c>
      <c r="F707" s="304">
        <f t="shared" ca="1" si="300"/>
        <v>3.8626842728916966</v>
      </c>
      <c r="G707" s="306">
        <f t="shared" ca="1" si="301"/>
        <v>9.0945560254674103</v>
      </c>
      <c r="H707" s="307">
        <f t="shared" ca="1" si="302"/>
        <v>-119.32931000991675</v>
      </c>
      <c r="I707" s="304">
        <f t="shared" ca="1" si="303"/>
        <v>119.67537414498935</v>
      </c>
      <c r="J707" s="306">
        <f t="shared" ca="1" si="304"/>
        <v>498.7115808193841</v>
      </c>
      <c r="K707" s="307">
        <f t="shared" ca="1" si="305"/>
        <v>639.38611659940921</v>
      </c>
      <c r="L707" s="304">
        <f t="shared" ca="1" si="290"/>
        <v>810.88090799046586</v>
      </c>
      <c r="M707" s="306">
        <f t="shared" ca="1" si="306"/>
        <v>-1.494729446233015</v>
      </c>
      <c r="N707" s="304">
        <f t="shared" ca="1" si="307"/>
        <v>-85.641688783078465</v>
      </c>
      <c r="P707" s="310">
        <f t="shared" ca="1" si="308"/>
        <v>23</v>
      </c>
      <c r="Q707" s="304">
        <f t="shared" ca="1" si="309"/>
        <v>0</v>
      </c>
      <c r="R707" s="306">
        <f t="shared" ca="1" si="310"/>
        <v>0</v>
      </c>
      <c r="S707" s="307">
        <f t="shared" ca="1" si="311"/>
        <v>6.8519999999999914</v>
      </c>
      <c r="T707" s="304">
        <f t="shared" ca="1" si="291"/>
        <v>67.218119999999914</v>
      </c>
      <c r="U707" s="311">
        <f t="shared" ca="1" si="292"/>
        <v>0</v>
      </c>
      <c r="V707" s="306">
        <f t="shared" ca="1" si="293"/>
        <v>1.1491016192623731</v>
      </c>
      <c r="W707" s="304">
        <f t="shared" ca="1" si="294"/>
        <v>41.369887836359048</v>
      </c>
      <c r="Y707" s="314" t="str">
        <f t="shared" ca="1" si="312"/>
        <v/>
      </c>
      <c r="Z707" s="315" t="str">
        <f t="shared" ca="1" si="313"/>
        <v/>
      </c>
      <c r="AA707" s="316" t="str">
        <f t="shared" ca="1" si="314"/>
        <v/>
      </c>
      <c r="AC707" s="310" t="e">
        <f t="shared" ca="1" si="315"/>
        <v>#N/A</v>
      </c>
      <c r="AD707" s="323" t="e">
        <f t="shared" ca="1" si="316"/>
        <v>#N/A</v>
      </c>
      <c r="AE707" s="324" t="e">
        <f t="shared" ca="1" si="295"/>
        <v>#N/A</v>
      </c>
      <c r="AG707" s="306">
        <f t="shared" ca="1" si="317"/>
        <v>3.7888477184805911</v>
      </c>
      <c r="AH707" s="304">
        <f t="shared" ca="1" si="318"/>
        <v>-5.9923146481193381</v>
      </c>
    </row>
    <row r="708" spans="1:34" x14ac:dyDescent="0.2">
      <c r="A708" s="347">
        <f t="shared" ca="1" si="296"/>
        <v>0.1</v>
      </c>
      <c r="B708" s="304">
        <f t="shared" ca="1" si="297"/>
        <v>34.400000000000176</v>
      </c>
      <c r="D708" s="306">
        <f t="shared" ca="1" si="298"/>
        <v>-0.45882143400076919</v>
      </c>
      <c r="E708" s="307">
        <f t="shared" ca="1" si="299"/>
        <v>-3.7898221063508721</v>
      </c>
      <c r="F708" s="304">
        <f t="shared" ca="1" si="300"/>
        <v>3.8174950826535827</v>
      </c>
      <c r="G708" s="306">
        <f t="shared" ca="1" si="301"/>
        <v>9.0486738820673338</v>
      </c>
      <c r="H708" s="307">
        <f t="shared" ca="1" si="302"/>
        <v>-119.70829222055184</v>
      </c>
      <c r="I708" s="304">
        <f t="shared" ca="1" si="303"/>
        <v>120.04979685690867</v>
      </c>
      <c r="J708" s="306">
        <f t="shared" ca="1" si="304"/>
        <v>499.61874231476082</v>
      </c>
      <c r="K708" s="307">
        <f t="shared" ca="1" si="305"/>
        <v>627.43423648788576</v>
      </c>
      <c r="L708" s="304">
        <f t="shared" ref="L708:L771" ca="1" si="319">SQRT(pos_x^2+pos_z^2)</f>
        <v>802.05524048491793</v>
      </c>
      <c r="M708" s="306">
        <f t="shared" ca="1" si="306"/>
        <v>-1.4953504358153955</v>
      </c>
      <c r="N708" s="304">
        <f t="shared" ca="1" si="307"/>
        <v>-85.677268865270463</v>
      </c>
      <c r="P708" s="310">
        <f t="shared" ca="1" si="308"/>
        <v>23</v>
      </c>
      <c r="Q708" s="304">
        <f t="shared" ca="1" si="309"/>
        <v>0</v>
      </c>
      <c r="R708" s="306">
        <f t="shared" ca="1" si="310"/>
        <v>0</v>
      </c>
      <c r="S708" s="307">
        <f t="shared" ca="1" si="311"/>
        <v>6.8519999999999914</v>
      </c>
      <c r="T708" s="304">
        <f t="shared" ref="T708:T771" ca="1" si="320">m*g</f>
        <v>67.218119999999914</v>
      </c>
      <c r="U708" s="311">
        <f t="shared" ref="U708:U771" ca="1" si="321">IF(pos_xz&lt;L_rampe,Poids*COS(Beta),0)</f>
        <v>0</v>
      </c>
      <c r="V708" s="306">
        <f t="shared" ref="V708:V771" ca="1" si="322">Rho_moyen*(20000-Alt_rampe-pos_z)/(20000+Alt_rampe+pos_z)</f>
        <v>1.1504772134153194</v>
      </c>
      <c r="W708" s="304">
        <f t="shared" ref="W708:W771" ca="1" si="323">1/2*Rho*Sref*Cx*vit_xz^2</f>
        <v>41.678991257618364</v>
      </c>
      <c r="Y708" s="314" t="str">
        <f t="shared" ca="1" si="312"/>
        <v/>
      </c>
      <c r="Z708" s="315" t="str">
        <f t="shared" ca="1" si="313"/>
        <v/>
      </c>
      <c r="AA708" s="316" t="str">
        <f t="shared" ca="1" si="314"/>
        <v/>
      </c>
      <c r="AC708" s="310" t="e">
        <f t="shared" ca="1" si="315"/>
        <v>#N/A</v>
      </c>
      <c r="AD708" s="323" t="e">
        <f t="shared" ca="1" si="316"/>
        <v>#N/A</v>
      </c>
      <c r="AE708" s="324" t="e">
        <f t="shared" ref="AE708:AE771" ca="1" si="324">IF(t&lt;T_para, pos_z, NA())</f>
        <v>#N/A</v>
      </c>
      <c r="AG708" s="306">
        <f t="shared" ca="1" si="317"/>
        <v>3.7439956463485453</v>
      </c>
      <c r="AH708" s="304">
        <f t="shared" ca="1" si="318"/>
        <v>-6.0376368704552101</v>
      </c>
    </row>
    <row r="709" spans="1:34" x14ac:dyDescent="0.2">
      <c r="A709" s="347">
        <f t="shared" ref="A709:A772" ca="1" si="325">IF(B708+0.01&lt;=T_ini+ROUNDUP(Temps_fin_propu,0), 0.01, IF(K708&gt;0, 0.1, 0.0001))</f>
        <v>0.1</v>
      </c>
      <c r="B709" s="304">
        <f t="shared" ref="B709:B772" ca="1" si="326">B708+pas</f>
        <v>34.500000000000178</v>
      </c>
      <c r="D709" s="306">
        <f t="shared" ref="D709:D772" ca="1" si="327">IF(AND(L708&lt;L_rampe,Poussee&lt;Poids*SIN(M708)),0,(-W708+Poussee)/m*COS(M708)-U708/m*SIN(M708))</f>
        <v>-0.45848312109093681</v>
      </c>
      <c r="E709" s="307">
        <f t="shared" ref="E709:E772" ca="1" si="328">IF(AND(L708&lt;L_rampe,Poussee&lt;Poids*SIN(M708)),0,(-W708+Poussee)/m*SIN(M708)+U708/m*COS(M708)-Poids/m)</f>
        <v>-3.7445552560454036</v>
      </c>
      <c r="F709" s="304">
        <f t="shared" ref="F709:F772" ca="1" si="329">SQRT(acc_x^2+acc_z^2)</f>
        <v>3.7725191633578938</v>
      </c>
      <c r="G709" s="306">
        <f t="shared" ref="G709:G772" ca="1" si="330">G708+acc_x*pas</f>
        <v>9.0028255699582402</v>
      </c>
      <c r="H709" s="307">
        <f t="shared" ref="H709:H772" ca="1" si="331">H708+acc_z*pas</f>
        <v>-120.08274774615639</v>
      </c>
      <c r="I709" s="304">
        <f t="shared" ref="I709:I772" ca="1" si="332">SQRT(vit_x^2+vit_z^2)</f>
        <v>120.41975408756704</v>
      </c>
      <c r="J709" s="306">
        <f t="shared" ref="J709:J772" ca="1" si="333">J708+0.5*(vit_x+G708)*pas*(K708&gt;=0)</f>
        <v>500.52131728736208</v>
      </c>
      <c r="K709" s="307">
        <f t="shared" ref="K709:K772" ca="1" si="334">K708+0.5*(vit_z+H708)*pas</f>
        <v>615.44468448955035</v>
      </c>
      <c r="L709" s="304">
        <f t="shared" ca="1" si="319"/>
        <v>793.2803720788246</v>
      </c>
      <c r="M709" s="306">
        <f t="shared" ref="M709:M772" ca="1" si="335">IF(AND(L708&gt;L_rampe,G709&gt;0),ATAN2(G709,H709),$M$4)</f>
        <v>-1.4959644731891313</v>
      </c>
      <c r="N709" s="304">
        <f t="shared" ref="N709:N772" ca="1" si="336">DEGREES(Beta)</f>
        <v>-85.712450615248812</v>
      </c>
      <c r="P709" s="310">
        <f t="shared" ref="P709:P772" ca="1" si="337">MATCH(t-pas/2-T_ini,CdP_t)</f>
        <v>23</v>
      </c>
      <c r="Q709" s="304">
        <f t="shared" ref="Q709:Q772" ca="1" si="338">(INDEX(CdP,2,i_P+1)-INDEX(CdP,2,i_P+0))/(INDEX(CdP,1,i_P+1)-INDEX(CdP,1,i_P+0))*(t-pas/2-T_ini-INDEX(CdP,1,i_P+0))+INDEX(CdP,2,i_P+0)</f>
        <v>0</v>
      </c>
      <c r="R709" s="306">
        <f t="shared" ref="R709:R772" ca="1" si="339">Poussee/(g*ISP)</f>
        <v>0</v>
      </c>
      <c r="S709" s="307">
        <f t="shared" ref="S709:S772" ca="1" si="340">S708-Débit*pas</f>
        <v>6.8519999999999914</v>
      </c>
      <c r="T709" s="304">
        <f t="shared" ca="1" si="320"/>
        <v>67.218119999999914</v>
      </c>
      <c r="U709" s="311">
        <f t="shared" ca="1" si="321"/>
        <v>0</v>
      </c>
      <c r="V709" s="306">
        <f t="shared" ca="1" si="322"/>
        <v>1.1518587459510949</v>
      </c>
      <c r="W709" s="304">
        <f t="shared" ca="1" si="323"/>
        <v>41.986629727698045</v>
      </c>
      <c r="Y709" s="314" t="str">
        <f t="shared" ref="Y709:Y772" ca="1" si="341">IF(AND(pos_z&lt;=0,K708&gt;0),"Impact balistique","") &amp; IF(AND(H710&lt;0,vit_z&gt;=0),"Apogée","") &amp; IF(AND(Poussee=0,Q708&gt;0),"Fin de propulsion","") &amp; IF(AND(L710&gt;L_rampe,pos_xz&lt;=L_rampe),"Sortie de rampe","")</f>
        <v/>
      </c>
      <c r="Z709" s="315" t="str">
        <f t="shared" ref="Z709:Z772" ca="1" si="342">IF(ABS(t-T_para)&lt;pas/2,"Para","")</f>
        <v/>
      </c>
      <c r="AA709" s="316" t="str">
        <f t="shared" ref="AA709:AA772" ca="1" si="343">IF(ABS(t-T_satellite)&lt;pas/2,"Satellite","")</f>
        <v/>
      </c>
      <c r="AC709" s="310" t="e">
        <f t="shared" ref="AC709:AC772" ca="1" si="344">IF(ABS(t-ROUND(t,0))&lt;0.001,t,NA())</f>
        <v>#N/A</v>
      </c>
      <c r="AD709" s="323" t="e">
        <f t="shared" ref="AD709:AD772" ca="1" si="345">IF(ABS(t-ROUND(t,0))&lt;0.001,pos_x,NA())</f>
        <v>#N/A</v>
      </c>
      <c r="AE709" s="324" t="e">
        <f t="shared" ca="1" si="324"/>
        <v>#N/A</v>
      </c>
      <c r="AG709" s="306">
        <f t="shared" ref="AG709:AG772" ca="1" si="346">IF(AND(L708&lt;L_rampe,Poussee&lt;Poids*SIN(M708)),0,(-W708+Poussee)/m-Poids*SIN(M708)/m)</f>
        <v>3.6993452901286137</v>
      </c>
      <c r="AH709" s="304">
        <f t="shared" ref="AH709:AH772" ca="1" si="347">IF(AND(L708&lt;L_rampe,Poussee&lt;Poids*SIN(M708)), g*SIN(M708), (-W708+Poussee)/m)</f>
        <v>-6.0827482862840654</v>
      </c>
    </row>
    <row r="710" spans="1:34" x14ac:dyDescent="0.2">
      <c r="A710" s="347">
        <f t="shared" ca="1" si="325"/>
        <v>0.1</v>
      </c>
      <c r="B710" s="304">
        <f t="shared" ca="1" si="326"/>
        <v>34.600000000000179</v>
      </c>
      <c r="D710" s="306">
        <f t="shared" ca="1" si="327"/>
        <v>-0.45811526221446991</v>
      </c>
      <c r="E710" s="307">
        <f t="shared" ca="1" si="328"/>
        <v>-3.6995029073167283</v>
      </c>
      <c r="F710" s="304">
        <f t="shared" ca="1" si="329"/>
        <v>3.7277595623536071</v>
      </c>
      <c r="G710" s="306">
        <f t="shared" ca="1" si="330"/>
        <v>8.9570140437367929</v>
      </c>
      <c r="H710" s="307">
        <f t="shared" ca="1" si="331"/>
        <v>-120.45269803688807</v>
      </c>
      <c r="I710" s="304">
        <f t="shared" ca="1" si="332"/>
        <v>120.78526634049965</v>
      </c>
      <c r="J710" s="306">
        <f t="shared" ca="1" si="333"/>
        <v>501.41930926804685</v>
      </c>
      <c r="K710" s="307">
        <f t="shared" ca="1" si="334"/>
        <v>603.41791220039818</v>
      </c>
      <c r="L710" s="304">
        <f t="shared" ca="1" si="319"/>
        <v>784.56006810895792</v>
      </c>
      <c r="M710" s="306">
        <f t="shared" ca="1" si="335"/>
        <v>-1.4965716793544308</v>
      </c>
      <c r="N710" s="304">
        <f t="shared" ca="1" si="336"/>
        <v>-85.747240965814797</v>
      </c>
      <c r="P710" s="310">
        <f t="shared" ca="1" si="337"/>
        <v>23</v>
      </c>
      <c r="Q710" s="304">
        <f t="shared" ca="1" si="338"/>
        <v>0</v>
      </c>
      <c r="R710" s="306">
        <f t="shared" ca="1" si="339"/>
        <v>0</v>
      </c>
      <c r="S710" s="307">
        <f t="shared" ca="1" si="340"/>
        <v>6.8519999999999914</v>
      </c>
      <c r="T710" s="304">
        <f t="shared" ca="1" si="320"/>
        <v>67.218119999999914</v>
      </c>
      <c r="U710" s="311">
        <f t="shared" ca="1" si="321"/>
        <v>0</v>
      </c>
      <c r="V710" s="306">
        <f t="shared" ca="1" si="322"/>
        <v>1.1532461826872158</v>
      </c>
      <c r="W710" s="304">
        <f t="shared" ca="1" si="323"/>
        <v>42.292783317075887</v>
      </c>
      <c r="Y710" s="314" t="str">
        <f t="shared" ca="1" si="341"/>
        <v/>
      </c>
      <c r="Z710" s="315" t="str">
        <f t="shared" ca="1" si="342"/>
        <v/>
      </c>
      <c r="AA710" s="316" t="str">
        <f t="shared" ca="1" si="343"/>
        <v/>
      </c>
      <c r="AC710" s="310" t="e">
        <f t="shared" ca="1" si="344"/>
        <v>#N/A</v>
      </c>
      <c r="AD710" s="323" t="e">
        <f t="shared" ca="1" si="345"/>
        <v>#N/A</v>
      </c>
      <c r="AE710" s="324" t="e">
        <f t="shared" ca="1" si="324"/>
        <v>#N/A</v>
      </c>
      <c r="AG710" s="306">
        <f t="shared" ca="1" si="346"/>
        <v>3.6548998621005788</v>
      </c>
      <c r="AH710" s="304">
        <f t="shared" ca="1" si="347"/>
        <v>-6.1276459030499266</v>
      </c>
    </row>
    <row r="711" spans="1:34" x14ac:dyDescent="0.2">
      <c r="A711" s="347">
        <f t="shared" ca="1" si="325"/>
        <v>0.1</v>
      </c>
      <c r="B711" s="304">
        <f t="shared" ca="1" si="326"/>
        <v>34.70000000000018</v>
      </c>
      <c r="D711" s="306">
        <f t="shared" ca="1" si="327"/>
        <v>-0.45771822685227798</v>
      </c>
      <c r="E711" s="307">
        <f t="shared" ca="1" si="328"/>
        <v>-3.6546679779887752</v>
      </c>
      <c r="F711" s="304">
        <f t="shared" ca="1" si="329"/>
        <v>3.6832192447001249</v>
      </c>
      <c r="G711" s="306">
        <f t="shared" ca="1" si="330"/>
        <v>8.9112422210515643</v>
      </c>
      <c r="H711" s="307">
        <f t="shared" ca="1" si="331"/>
        <v>-120.81816483468694</v>
      </c>
      <c r="I711" s="304">
        <f t="shared" ca="1" si="332"/>
        <v>121.14635443109229</v>
      </c>
      <c r="J711" s="306">
        <f t="shared" ca="1" si="333"/>
        <v>502.31272208128627</v>
      </c>
      <c r="K711" s="307">
        <f t="shared" ca="1" si="334"/>
        <v>591.35436905681945</v>
      </c>
      <c r="L711" s="304">
        <f t="shared" ca="1" si="319"/>
        <v>775.89822822796839</v>
      </c>
      <c r="M711" s="306">
        <f t="shared" ca="1" si="335"/>
        <v>-1.4971721723937139</v>
      </c>
      <c r="N711" s="304">
        <f t="shared" ca="1" si="336"/>
        <v>-85.781646682592708</v>
      </c>
      <c r="P711" s="310">
        <f t="shared" ca="1" si="337"/>
        <v>23</v>
      </c>
      <c r="Q711" s="304">
        <f t="shared" ca="1" si="338"/>
        <v>0</v>
      </c>
      <c r="R711" s="306">
        <f t="shared" ca="1" si="339"/>
        <v>0</v>
      </c>
      <c r="S711" s="307">
        <f t="shared" ca="1" si="340"/>
        <v>6.8519999999999914</v>
      </c>
      <c r="T711" s="304">
        <f t="shared" ca="1" si="320"/>
        <v>67.218119999999914</v>
      </c>
      <c r="U711" s="311">
        <f t="shared" ca="1" si="321"/>
        <v>0</v>
      </c>
      <c r="V711" s="306">
        <f t="shared" ca="1" si="322"/>
        <v>1.1546394895536167</v>
      </c>
      <c r="W711" s="304">
        <f t="shared" ca="1" si="323"/>
        <v>42.597432668113413</v>
      </c>
      <c r="Y711" s="314" t="str">
        <f t="shared" ca="1" si="341"/>
        <v/>
      </c>
      <c r="Z711" s="315" t="str">
        <f t="shared" ca="1" si="342"/>
        <v/>
      </c>
      <c r="AA711" s="316" t="str">
        <f t="shared" ca="1" si="343"/>
        <v/>
      </c>
      <c r="AC711" s="310" t="e">
        <f t="shared" ca="1" si="344"/>
        <v>#N/A</v>
      </c>
      <c r="AD711" s="323" t="e">
        <f t="shared" ca="1" si="345"/>
        <v>#N/A</v>
      </c>
      <c r="AE711" s="324" t="e">
        <f t="shared" ca="1" si="324"/>
        <v>#N/A</v>
      </c>
      <c r="AG711" s="306">
        <f t="shared" ca="1" si="346"/>
        <v>3.6106624839684214</v>
      </c>
      <c r="AH711" s="304">
        <f t="shared" ca="1" si="347"/>
        <v>-6.1723268121827113</v>
      </c>
    </row>
    <row r="712" spans="1:34" x14ac:dyDescent="0.2">
      <c r="A712" s="347">
        <f t="shared" ca="1" si="325"/>
        <v>0.1</v>
      </c>
      <c r="B712" s="304">
        <f t="shared" ca="1" si="326"/>
        <v>34.800000000000182</v>
      </c>
      <c r="D712" s="306">
        <f t="shared" ca="1" si="327"/>
        <v>-0.45729238527661997</v>
      </c>
      <c r="E712" s="307">
        <f t="shared" ca="1" si="328"/>
        <v>-3.6100533021670884</v>
      </c>
      <c r="F712" s="304">
        <f t="shared" ca="1" si="329"/>
        <v>3.638901093753371</v>
      </c>
      <c r="G712" s="306">
        <f t="shared" ca="1" si="330"/>
        <v>8.865512982523903</v>
      </c>
      <c r="H712" s="307">
        <f t="shared" ca="1" si="331"/>
        <v>-121.17917016490365</v>
      </c>
      <c r="I712" s="304">
        <f t="shared" ca="1" si="332"/>
        <v>121.50303947761132</v>
      </c>
      <c r="J712" s="306">
        <f t="shared" ca="1" si="333"/>
        <v>503.20155984146504</v>
      </c>
      <c r="K712" s="307">
        <f t="shared" ca="1" si="334"/>
        <v>579.25450230683987</v>
      </c>
      <c r="L712" s="304">
        <f t="shared" ca="1" si="319"/>
        <v>767.29889109109774</v>
      </c>
      <c r="M712" s="306">
        <f t="shared" ca="1" si="335"/>
        <v>-1.4977660675585773</v>
      </c>
      <c r="N712" s="304">
        <f t="shared" ca="1" si="336"/>
        <v>-85.815674369012612</v>
      </c>
      <c r="P712" s="310">
        <f t="shared" ca="1" si="337"/>
        <v>23</v>
      </c>
      <c r="Q712" s="304">
        <f t="shared" ca="1" si="338"/>
        <v>0</v>
      </c>
      <c r="R712" s="306">
        <f t="shared" ca="1" si="339"/>
        <v>0</v>
      </c>
      <c r="S712" s="307">
        <f t="shared" ca="1" si="340"/>
        <v>6.8519999999999914</v>
      </c>
      <c r="T712" s="304">
        <f t="shared" ca="1" si="320"/>
        <v>67.218119999999914</v>
      </c>
      <c r="U712" s="311">
        <f t="shared" ca="1" si="321"/>
        <v>0</v>
      </c>
      <c r="V712" s="306">
        <f t="shared" ca="1" si="322"/>
        <v>1.1560386325951371</v>
      </c>
      <c r="W712" s="304">
        <f t="shared" ca="1" si="323"/>
        <v>42.900558991313638</v>
      </c>
      <c r="Y712" s="314" t="str">
        <f t="shared" ca="1" si="341"/>
        <v/>
      </c>
      <c r="Z712" s="315" t="str">
        <f t="shared" ca="1" si="342"/>
        <v/>
      </c>
      <c r="AA712" s="316" t="str">
        <f t="shared" ca="1" si="343"/>
        <v/>
      </c>
      <c r="AC712" s="310" t="e">
        <f t="shared" ca="1" si="344"/>
        <v>#N/A</v>
      </c>
      <c r="AD712" s="323" t="e">
        <f t="shared" ca="1" si="345"/>
        <v>#N/A</v>
      </c>
      <c r="AE712" s="324" t="e">
        <f t="shared" ca="1" si="324"/>
        <v>#N/A</v>
      </c>
      <c r="AG712" s="306">
        <f t="shared" ca="1" si="346"/>
        <v>3.5666361876201176</v>
      </c>
      <c r="AH712" s="304">
        <f t="shared" ca="1" si="347"/>
        <v>-6.216788188574645</v>
      </c>
    </row>
    <row r="713" spans="1:34" x14ac:dyDescent="0.2">
      <c r="A713" s="347">
        <f t="shared" ca="1" si="325"/>
        <v>0.1</v>
      </c>
      <c r="B713" s="304">
        <f t="shared" ca="1" si="326"/>
        <v>34.900000000000183</v>
      </c>
      <c r="D713" s="306">
        <f t="shared" ca="1" si="327"/>
        <v>-0.45683810843235573</v>
      </c>
      <c r="E713" s="307">
        <f t="shared" ca="1" si="328"/>
        <v>-3.5656616307861917</v>
      </c>
      <c r="F713" s="304">
        <f t="shared" ca="1" si="329"/>
        <v>3.5948079117773313</v>
      </c>
      <c r="G713" s="306">
        <f t="shared" ca="1" si="330"/>
        <v>8.8198291716806683</v>
      </c>
      <c r="H713" s="307">
        <f t="shared" ca="1" si="331"/>
        <v>-121.53573632798228</v>
      </c>
      <c r="I713" s="304">
        <f t="shared" ca="1" si="332"/>
        <v>121.85534289231006</v>
      </c>
      <c r="J713" s="306">
        <f t="shared" ca="1" si="333"/>
        <v>504.08582694917527</v>
      </c>
      <c r="K713" s="307">
        <f t="shared" ca="1" si="334"/>
        <v>567.11875698219558</v>
      </c>
      <c r="L713" s="304">
        <f t="shared" ca="1" si="319"/>
        <v>758.76623900386119</v>
      </c>
      <c r="M713" s="306">
        <f t="shared" ca="1" si="335"/>
        <v>-1.4983534773536875</v>
      </c>
      <c r="N713" s="304">
        <f t="shared" ca="1" si="336"/>
        <v>-85.849330471117071</v>
      </c>
      <c r="P713" s="310">
        <f t="shared" ca="1" si="337"/>
        <v>23</v>
      </c>
      <c r="Q713" s="304">
        <f t="shared" ca="1" si="338"/>
        <v>0</v>
      </c>
      <c r="R713" s="306">
        <f t="shared" ca="1" si="339"/>
        <v>0</v>
      </c>
      <c r="S713" s="307">
        <f t="shared" ca="1" si="340"/>
        <v>6.8519999999999914</v>
      </c>
      <c r="T713" s="304">
        <f t="shared" ca="1" si="320"/>
        <v>67.218119999999914</v>
      </c>
      <c r="U713" s="311">
        <f t="shared" ca="1" si="321"/>
        <v>0</v>
      </c>
      <c r="V713" s="306">
        <f t="shared" ca="1" si="322"/>
        <v>1.1574435779739598</v>
      </c>
      <c r="W713" s="304">
        <f t="shared" ca="1" si="323"/>
        <v>43.202144061428974</v>
      </c>
      <c r="Y713" s="314" t="str">
        <f t="shared" ca="1" si="341"/>
        <v/>
      </c>
      <c r="Z713" s="315" t="str">
        <f t="shared" ca="1" si="342"/>
        <v/>
      </c>
      <c r="AA713" s="316" t="str">
        <f t="shared" ca="1" si="343"/>
        <v/>
      </c>
      <c r="AC713" s="310" t="e">
        <f t="shared" ca="1" si="344"/>
        <v>#N/A</v>
      </c>
      <c r="AD713" s="323" t="e">
        <f t="shared" ca="1" si="345"/>
        <v>#N/A</v>
      </c>
      <c r="AE713" s="324" t="e">
        <f t="shared" ca="1" si="324"/>
        <v>#N/A</v>
      </c>
      <c r="AG713" s="306">
        <f t="shared" ca="1" si="346"/>
        <v>3.5228239159001493</v>
      </c>
      <c r="AH713" s="304">
        <f t="shared" ca="1" si="347"/>
        <v>-6.2610272900341055</v>
      </c>
    </row>
    <row r="714" spans="1:34" x14ac:dyDescent="0.2">
      <c r="A714" s="347">
        <f t="shared" ca="1" si="325"/>
        <v>0.1</v>
      </c>
      <c r="B714" s="304">
        <f t="shared" ca="1" si="326"/>
        <v>35.000000000000185</v>
      </c>
      <c r="D714" s="306">
        <f t="shared" ca="1" si="327"/>
        <v>-0.45635576782019943</v>
      </c>
      <c r="E714" s="307">
        <f t="shared" ca="1" si="328"/>
        <v>-3.5214956321789126</v>
      </c>
      <c r="F714" s="304">
        <f t="shared" ca="1" si="329"/>
        <v>3.5509424205804749</v>
      </c>
      <c r="G714" s="306">
        <f t="shared" ca="1" si="330"/>
        <v>8.774193594898648</v>
      </c>
      <c r="H714" s="307">
        <f t="shared" ca="1" si="331"/>
        <v>-121.88788589120017</v>
      </c>
      <c r="I714" s="304">
        <f t="shared" ca="1" si="332"/>
        <v>122.20328637261353</v>
      </c>
      <c r="J714" s="306">
        <f t="shared" ca="1" si="333"/>
        <v>504.96552808750425</v>
      </c>
      <c r="K714" s="307">
        <f t="shared" ca="1" si="334"/>
        <v>554.9475758712365</v>
      </c>
      <c r="L714" s="304">
        <f t="shared" ca="1" si="319"/>
        <v>750.30460249291673</v>
      </c>
      <c r="M714" s="306">
        <f t="shared" ca="1" si="335"/>
        <v>-1.4989345116177282</v>
      </c>
      <c r="N714" s="304">
        <f t="shared" ca="1" si="336"/>
        <v>-85.882621282199082</v>
      </c>
      <c r="P714" s="310">
        <f t="shared" ca="1" si="337"/>
        <v>23</v>
      </c>
      <c r="Q714" s="304">
        <f t="shared" ca="1" si="338"/>
        <v>0</v>
      </c>
      <c r="R714" s="306">
        <f t="shared" ca="1" si="339"/>
        <v>0</v>
      </c>
      <c r="S714" s="307">
        <f t="shared" ca="1" si="340"/>
        <v>6.8519999999999914</v>
      </c>
      <c r="T714" s="304">
        <f t="shared" ca="1" si="320"/>
        <v>67.218119999999914</v>
      </c>
      <c r="U714" s="311">
        <f t="shared" ca="1" si="321"/>
        <v>0</v>
      </c>
      <c r="V714" s="306">
        <f t="shared" ca="1" si="322"/>
        <v>1.1588542919719951</v>
      </c>
      <c r="W714" s="304">
        <f t="shared" ca="1" si="323"/>
        <v>43.502170213424236</v>
      </c>
      <c r="Y714" s="314" t="str">
        <f t="shared" ca="1" si="341"/>
        <v/>
      </c>
      <c r="Z714" s="315" t="str">
        <f t="shared" ca="1" si="342"/>
        <v/>
      </c>
      <c r="AA714" s="316" t="str">
        <f t="shared" ca="1" si="343"/>
        <v/>
      </c>
      <c r="AC714" s="310">
        <f t="shared" ca="1" si="344"/>
        <v>35.000000000000185</v>
      </c>
      <c r="AD714" s="323">
        <f t="shared" ca="1" si="345"/>
        <v>504.96552808750425</v>
      </c>
      <c r="AE714" s="324" t="e">
        <f t="shared" ca="1" si="324"/>
        <v>#N/A</v>
      </c>
      <c r="AG714" s="306">
        <f t="shared" ca="1" si="346"/>
        <v>3.4792285233945801</v>
      </c>
      <c r="AH714" s="304">
        <f t="shared" ca="1" si="347"/>
        <v>-6.3050414567176052</v>
      </c>
    </row>
    <row r="715" spans="1:34" x14ac:dyDescent="0.2">
      <c r="A715" s="347">
        <f t="shared" ca="1" si="325"/>
        <v>0.1</v>
      </c>
      <c r="B715" s="304">
        <f t="shared" ca="1" si="326"/>
        <v>35.100000000000186</v>
      </c>
      <c r="D715" s="306">
        <f t="shared" ca="1" si="327"/>
        <v>-0.45584573538197404</v>
      </c>
      <c r="E715" s="307">
        <f t="shared" ca="1" si="328"/>
        <v>-3.4775578926669395</v>
      </c>
      <c r="F715" s="304">
        <f t="shared" ca="1" si="329"/>
        <v>3.5073072621765058</v>
      </c>
      <c r="G715" s="306">
        <f t="shared" ca="1" si="330"/>
        <v>8.7286090213604499</v>
      </c>
      <c r="H715" s="307">
        <f t="shared" ca="1" si="331"/>
        <v>-122.23564168046687</v>
      </c>
      <c r="I715" s="304">
        <f t="shared" ca="1" si="332"/>
        <v>122.54689189238242</v>
      </c>
      <c r="J715" s="306">
        <f t="shared" ca="1" si="333"/>
        <v>505.84066821831721</v>
      </c>
      <c r="K715" s="307">
        <f t="shared" ca="1" si="334"/>
        <v>542.74139949265316</v>
      </c>
      <c r="L715" s="304">
        <f t="shared" ca="1" si="319"/>
        <v>741.91846475660475</v>
      </c>
      <c r="M715" s="306">
        <f t="shared" ca="1" si="335"/>
        <v>-1.4995092776015235</v>
      </c>
      <c r="N715" s="304">
        <f t="shared" ca="1" si="336"/>
        <v>-85.915552947278243</v>
      </c>
      <c r="P715" s="310">
        <f t="shared" ca="1" si="337"/>
        <v>23</v>
      </c>
      <c r="Q715" s="304">
        <f t="shared" ca="1" si="338"/>
        <v>0</v>
      </c>
      <c r="R715" s="306">
        <f t="shared" ca="1" si="339"/>
        <v>0</v>
      </c>
      <c r="S715" s="307">
        <f t="shared" ca="1" si="340"/>
        <v>6.8519999999999914</v>
      </c>
      <c r="T715" s="304">
        <f t="shared" ca="1" si="320"/>
        <v>67.218119999999914</v>
      </c>
      <c r="U715" s="311">
        <f t="shared" ca="1" si="321"/>
        <v>0</v>
      </c>
      <c r="V715" s="306">
        <f t="shared" ca="1" si="322"/>
        <v>1.1602707409932231</v>
      </c>
      <c r="W715" s="304">
        <f t="shared" ca="1" si="323"/>
        <v>43.800620338300163</v>
      </c>
      <c r="Y715" s="314" t="str">
        <f t="shared" ca="1" si="341"/>
        <v/>
      </c>
      <c r="Z715" s="315" t="str">
        <f t="shared" ca="1" si="342"/>
        <v/>
      </c>
      <c r="AA715" s="316" t="str">
        <f t="shared" ca="1" si="343"/>
        <v/>
      </c>
      <c r="AC715" s="310" t="e">
        <f t="shared" ca="1" si="344"/>
        <v>#N/A</v>
      </c>
      <c r="AD715" s="323" t="e">
        <f t="shared" ca="1" si="345"/>
        <v>#N/A</v>
      </c>
      <c r="AE715" s="324" t="e">
        <f t="shared" ca="1" si="324"/>
        <v>#N/A</v>
      </c>
      <c r="AG715" s="306">
        <f t="shared" ca="1" si="346"/>
        <v>3.4358527772283853</v>
      </c>
      <c r="AH715" s="304">
        <f t="shared" ca="1" si="347"/>
        <v>-6.3488281105406141</v>
      </c>
    </row>
    <row r="716" spans="1:34" x14ac:dyDescent="0.2">
      <c r="A716" s="347">
        <f t="shared" ca="1" si="325"/>
        <v>0.1</v>
      </c>
      <c r="B716" s="304">
        <f t="shared" ca="1" si="326"/>
        <v>35.200000000000188</v>
      </c>
      <c r="D716" s="306">
        <f t="shared" ca="1" si="327"/>
        <v>-0.45530838338787671</v>
      </c>
      <c r="E716" s="307">
        <f t="shared" ca="1" si="328"/>
        <v>-3.4338509171718217</v>
      </c>
      <c r="F716" s="304">
        <f t="shared" ca="1" si="329"/>
        <v>3.4639049994688138</v>
      </c>
      <c r="G716" s="306">
        <f t="shared" ca="1" si="330"/>
        <v>8.6830781830216619</v>
      </c>
      <c r="H716" s="307">
        <f t="shared" ca="1" si="331"/>
        <v>-122.57902677218405</v>
      </c>
      <c r="I716" s="304">
        <f t="shared" ca="1" si="332"/>
        <v>122.88618169325744</v>
      </c>
      <c r="J716" s="306">
        <f t="shared" ca="1" si="333"/>
        <v>506.71125257853629</v>
      </c>
      <c r="K716" s="307">
        <f t="shared" ca="1" si="334"/>
        <v>530.50066607002066</v>
      </c>
      <c r="L716" s="304">
        <f t="shared" ca="1" si="319"/>
        <v>733.61246594536874</v>
      </c>
      <c r="M716" s="306">
        <f t="shared" ca="1" si="335"/>
        <v>-1.5000778800434467</v>
      </c>
      <c r="N716" s="304">
        <f t="shared" ca="1" si="336"/>
        <v>-85.948131467421277</v>
      </c>
      <c r="P716" s="310">
        <f t="shared" ca="1" si="337"/>
        <v>23</v>
      </c>
      <c r="Q716" s="304">
        <f t="shared" ca="1" si="338"/>
        <v>0</v>
      </c>
      <c r="R716" s="306">
        <f t="shared" ca="1" si="339"/>
        <v>0</v>
      </c>
      <c r="S716" s="307">
        <f t="shared" ca="1" si="340"/>
        <v>6.8519999999999914</v>
      </c>
      <c r="T716" s="304">
        <f t="shared" ca="1" si="320"/>
        <v>67.218119999999914</v>
      </c>
      <c r="U716" s="311">
        <f t="shared" ca="1" si="321"/>
        <v>0</v>
      </c>
      <c r="V716" s="306">
        <f t="shared" ca="1" si="322"/>
        <v>1.1616928915659832</v>
      </c>
      <c r="W716" s="304">
        <f t="shared" ca="1" si="323"/>
        <v>44.097477878781667</v>
      </c>
      <c r="Y716" s="314" t="str">
        <f t="shared" ca="1" si="341"/>
        <v/>
      </c>
      <c r="Z716" s="315" t="str">
        <f t="shared" ca="1" si="342"/>
        <v/>
      </c>
      <c r="AA716" s="316" t="str">
        <f t="shared" ca="1" si="343"/>
        <v/>
      </c>
      <c r="AC716" s="310" t="e">
        <f t="shared" ca="1" si="344"/>
        <v>#N/A</v>
      </c>
      <c r="AD716" s="323" t="e">
        <f t="shared" ca="1" si="345"/>
        <v>#N/A</v>
      </c>
      <c r="AE716" s="324" t="e">
        <f t="shared" ca="1" si="324"/>
        <v>#N/A</v>
      </c>
      <c r="AG716" s="306">
        <f t="shared" ca="1" si="346"/>
        <v>3.3926993578746236</v>
      </c>
      <c r="AH716" s="304">
        <f t="shared" ca="1" si="347"/>
        <v>-6.3923847545680408</v>
      </c>
    </row>
    <row r="717" spans="1:34" x14ac:dyDescent="0.2">
      <c r="A717" s="347">
        <f t="shared" ca="1" si="325"/>
        <v>0.1</v>
      </c>
      <c r="B717" s="304">
        <f t="shared" ca="1" si="326"/>
        <v>35.300000000000189</v>
      </c>
      <c r="D717" s="306">
        <f t="shared" ca="1" si="327"/>
        <v>-0.45474408432578622</v>
      </c>
      <c r="E717" s="307">
        <f t="shared" ca="1" si="328"/>
        <v>-3.3903771298457936</v>
      </c>
      <c r="F717" s="304">
        <f t="shared" ca="1" si="329"/>
        <v>3.4207381169581952</v>
      </c>
      <c r="G717" s="306">
        <f t="shared" ca="1" si="330"/>
        <v>8.637603774589083</v>
      </c>
      <c r="H717" s="307">
        <f t="shared" ca="1" si="331"/>
        <v>-122.91806448516863</v>
      </c>
      <c r="I717" s="304">
        <f t="shared" ca="1" si="332"/>
        <v>123.2211782760856</v>
      </c>
      <c r="J717" s="306">
        <f t="shared" ca="1" si="333"/>
        <v>507.5772866764168</v>
      </c>
      <c r="K717" s="307">
        <f t="shared" ca="1" si="334"/>
        <v>518.22581150715303</v>
      </c>
      <c r="L717" s="304">
        <f t="shared" ca="1" si="319"/>
        <v>725.39140721547062</v>
      </c>
      <c r="M717" s="306">
        <f t="shared" ca="1" si="335"/>
        <v>-1.5006404212422289</v>
      </c>
      <c r="N717" s="304">
        <f t="shared" ca="1" si="336"/>
        <v>-85.980362703913727</v>
      </c>
      <c r="P717" s="310">
        <f t="shared" ca="1" si="337"/>
        <v>23</v>
      </c>
      <c r="Q717" s="304">
        <f t="shared" ca="1" si="338"/>
        <v>0</v>
      </c>
      <c r="R717" s="306">
        <f t="shared" ca="1" si="339"/>
        <v>0</v>
      </c>
      <c r="S717" s="307">
        <f t="shared" ca="1" si="340"/>
        <v>6.8519999999999914</v>
      </c>
      <c r="T717" s="304">
        <f t="shared" ca="1" si="320"/>
        <v>67.218119999999914</v>
      </c>
      <c r="U717" s="311">
        <f t="shared" ca="1" si="321"/>
        <v>0</v>
      </c>
      <c r="V717" s="306">
        <f t="shared" ca="1" si="322"/>
        <v>1.1631207103452157</v>
      </c>
      <c r="W717" s="304">
        <f t="shared" ca="1" si="323"/>
        <v>44.392726824876448</v>
      </c>
      <c r="Y717" s="314" t="str">
        <f t="shared" ca="1" si="341"/>
        <v/>
      </c>
      <c r="Z717" s="315" t="str">
        <f t="shared" ca="1" si="342"/>
        <v/>
      </c>
      <c r="AA717" s="316" t="str">
        <f t="shared" ca="1" si="343"/>
        <v/>
      </c>
      <c r="AC717" s="310" t="e">
        <f t="shared" ca="1" si="344"/>
        <v>#N/A</v>
      </c>
      <c r="AD717" s="323" t="e">
        <f t="shared" ca="1" si="345"/>
        <v>#N/A</v>
      </c>
      <c r="AE717" s="324" t="e">
        <f t="shared" ca="1" si="324"/>
        <v>#N/A</v>
      </c>
      <c r="AG717" s="306">
        <f t="shared" ca="1" si="346"/>
        <v>3.3497708599752709</v>
      </c>
      <c r="AH717" s="304">
        <f t="shared" ca="1" si="347"/>
        <v>-6.4357089723849565</v>
      </c>
    </row>
    <row r="718" spans="1:34" x14ac:dyDescent="0.2">
      <c r="A718" s="347">
        <f t="shared" ca="1" si="325"/>
        <v>0.1</v>
      </c>
      <c r="B718" s="304">
        <f t="shared" ca="1" si="326"/>
        <v>35.40000000000019</v>
      </c>
      <c r="D718" s="306">
        <f t="shared" ca="1" si="327"/>
        <v>-0.45415321079258808</v>
      </c>
      <c r="E718" s="307">
        <f t="shared" ca="1" si="328"/>
        <v>-3.347138874721602</v>
      </c>
      <c r="F718" s="304">
        <f t="shared" ca="1" si="329"/>
        <v>3.3778090214732108</v>
      </c>
      <c r="G718" s="306">
        <f t="shared" ca="1" si="330"/>
        <v>8.5921884535098236</v>
      </c>
      <c r="H718" s="307">
        <f t="shared" ca="1" si="331"/>
        <v>-123.25277837264079</v>
      </c>
      <c r="I718" s="304">
        <f t="shared" ca="1" si="332"/>
        <v>123.55190439242908</v>
      </c>
      <c r="J718" s="306">
        <f t="shared" ca="1" si="333"/>
        <v>508.43877628782172</v>
      </c>
      <c r="K718" s="307">
        <f t="shared" ca="1" si="334"/>
        <v>505.91726936426255</v>
      </c>
      <c r="L718" s="304">
        <f t="shared" ca="1" si="319"/>
        <v>717.26025449208419</v>
      </c>
      <c r="M718" s="306">
        <f t="shared" ca="1" si="335"/>
        <v>-1.5011970011272671</v>
      </c>
      <c r="N718" s="304">
        <f t="shared" ca="1" si="336"/>
        <v>-86.012252382288295</v>
      </c>
      <c r="P718" s="310">
        <f t="shared" ca="1" si="337"/>
        <v>23</v>
      </c>
      <c r="Q718" s="304">
        <f t="shared" ca="1" si="338"/>
        <v>0</v>
      </c>
      <c r="R718" s="306">
        <f t="shared" ca="1" si="339"/>
        <v>0</v>
      </c>
      <c r="S718" s="307">
        <f t="shared" ca="1" si="340"/>
        <v>6.8519999999999914</v>
      </c>
      <c r="T718" s="304">
        <f t="shared" ca="1" si="320"/>
        <v>67.218119999999914</v>
      </c>
      <c r="U718" s="311">
        <f t="shared" ca="1" si="321"/>
        <v>0</v>
      </c>
      <c r="V718" s="306">
        <f t="shared" ca="1" si="322"/>
        <v>1.1645541641146557</v>
      </c>
      <c r="W718" s="304">
        <f t="shared" ca="1" si="323"/>
        <v>44.686351709308212</v>
      </c>
      <c r="Y718" s="314" t="str">
        <f t="shared" ca="1" si="341"/>
        <v/>
      </c>
      <c r="Z718" s="315" t="str">
        <f t="shared" ca="1" si="342"/>
        <v/>
      </c>
      <c r="AA718" s="316" t="str">
        <f t="shared" ca="1" si="343"/>
        <v/>
      </c>
      <c r="AC718" s="310" t="e">
        <f t="shared" ca="1" si="344"/>
        <v>#N/A</v>
      </c>
      <c r="AD718" s="323" t="e">
        <f t="shared" ca="1" si="345"/>
        <v>#N/A</v>
      </c>
      <c r="AE718" s="324" t="e">
        <f t="shared" ca="1" si="324"/>
        <v>#N/A</v>
      </c>
      <c r="AG718" s="306">
        <f t="shared" ca="1" si="346"/>
        <v>3.3070697931732669</v>
      </c>
      <c r="AH718" s="304">
        <f t="shared" ca="1" si="347"/>
        <v>-6.4787984274484094</v>
      </c>
    </row>
    <row r="719" spans="1:34" x14ac:dyDescent="0.2">
      <c r="A719" s="347">
        <f t="shared" ca="1" si="325"/>
        <v>0.1</v>
      </c>
      <c r="B719" s="304">
        <f t="shared" ca="1" si="326"/>
        <v>35.500000000000192</v>
      </c>
      <c r="D719" s="306">
        <f t="shared" ca="1" si="327"/>
        <v>-0.45353613538755994</v>
      </c>
      <c r="E719" s="307">
        <f t="shared" ca="1" si="328"/>
        <v>-3.3041384163806953</v>
      </c>
      <c r="F719" s="304">
        <f t="shared" ca="1" si="329"/>
        <v>3.3351200429227448</v>
      </c>
      <c r="G719" s="306">
        <f t="shared" ca="1" si="330"/>
        <v>8.5468348399710674</v>
      </c>
      <c r="H719" s="307">
        <f t="shared" ca="1" si="331"/>
        <v>-123.58319221427885</v>
      </c>
      <c r="I719" s="304">
        <f t="shared" ca="1" si="332"/>
        <v>123.87838303615823</v>
      </c>
      <c r="J719" s="306">
        <f t="shared" ca="1" si="333"/>
        <v>509.29572745249578</v>
      </c>
      <c r="K719" s="307">
        <f t="shared" ca="1" si="334"/>
        <v>493.57547083491659</v>
      </c>
      <c r="L719" s="304">
        <f t="shared" ca="1" si="319"/>
        <v>709.22414187002721</v>
      </c>
      <c r="M719" s="306">
        <f t="shared" ca="1" si="335"/>
        <v>-1.5017477173265337</v>
      </c>
      <c r="N719" s="304">
        <f t="shared" ca="1" si="336"/>
        <v>-86.043806096215746</v>
      </c>
      <c r="P719" s="310">
        <f t="shared" ca="1" si="337"/>
        <v>23</v>
      </c>
      <c r="Q719" s="304">
        <f t="shared" ca="1" si="338"/>
        <v>0</v>
      </c>
      <c r="R719" s="306">
        <f t="shared" ca="1" si="339"/>
        <v>0</v>
      </c>
      <c r="S719" s="307">
        <f t="shared" ca="1" si="340"/>
        <v>6.8519999999999914</v>
      </c>
      <c r="T719" s="304">
        <f t="shared" ca="1" si="320"/>
        <v>67.218119999999914</v>
      </c>
      <c r="U719" s="311">
        <f t="shared" ca="1" si="321"/>
        <v>0</v>
      </c>
      <c r="V719" s="306">
        <f t="shared" ca="1" si="322"/>
        <v>1.1659932197889782</v>
      </c>
      <c r="W719" s="304">
        <f t="shared" ca="1" si="323"/>
        <v>44.978337602829875</v>
      </c>
      <c r="Y719" s="314" t="str">
        <f t="shared" ca="1" si="341"/>
        <v/>
      </c>
      <c r="Z719" s="315" t="str">
        <f t="shared" ca="1" si="342"/>
        <v/>
      </c>
      <c r="AA719" s="316" t="str">
        <f t="shared" ca="1" si="343"/>
        <v/>
      </c>
      <c r="AC719" s="310" t="e">
        <f t="shared" ca="1" si="344"/>
        <v>#N/A</v>
      </c>
      <c r="AD719" s="323" t="e">
        <f t="shared" ca="1" si="345"/>
        <v>#N/A</v>
      </c>
      <c r="AE719" s="324" t="e">
        <f t="shared" ca="1" si="324"/>
        <v>#N/A</v>
      </c>
      <c r="AG719" s="306">
        <f t="shared" ca="1" si="346"/>
        <v>3.2645985829554531</v>
      </c>
      <c r="AH719" s="304">
        <f t="shared" ca="1" si="347"/>
        <v>-6.5216508624209384</v>
      </c>
    </row>
    <row r="720" spans="1:34" x14ac:dyDescent="0.2">
      <c r="A720" s="347">
        <f t="shared" ca="1" si="325"/>
        <v>0.1</v>
      </c>
      <c r="B720" s="304">
        <f t="shared" ca="1" si="326"/>
        <v>35.600000000000193</v>
      </c>
      <c r="D720" s="306">
        <f t="shared" ca="1" si="327"/>
        <v>-0.45289323060780012</v>
      </c>
      <c r="E720" s="307">
        <f t="shared" ca="1" si="328"/>
        <v>-3.2613779406390204</v>
      </c>
      <c r="F720" s="304">
        <f t="shared" ca="1" si="329"/>
        <v>3.2926734350702298</v>
      </c>
      <c r="G720" s="306">
        <f t="shared" ca="1" si="330"/>
        <v>8.5015455169102871</v>
      </c>
      <c r="H720" s="307">
        <f t="shared" ca="1" si="331"/>
        <v>-123.90933000834275</v>
      </c>
      <c r="I720" s="304">
        <f t="shared" ca="1" si="332"/>
        <v>124.20063743512948</v>
      </c>
      <c r="J720" s="306">
        <f t="shared" ca="1" si="333"/>
        <v>510.14814647033984</v>
      </c>
      <c r="K720" s="307">
        <f t="shared" ca="1" si="334"/>
        <v>481.20084472378551</v>
      </c>
      <c r="L720" s="304">
        <f t="shared" ca="1" si="319"/>
        <v>701.28837457212137</v>
      </c>
      <c r="M720" s="306">
        <f t="shared" ca="1" si="335"/>
        <v>-1.5022926652321804</v>
      </c>
      <c r="N720" s="304">
        <f t="shared" ca="1" si="336"/>
        <v>-86.075029311263805</v>
      </c>
      <c r="P720" s="310">
        <f t="shared" ca="1" si="337"/>
        <v>23</v>
      </c>
      <c r="Q720" s="304">
        <f t="shared" ca="1" si="338"/>
        <v>0</v>
      </c>
      <c r="R720" s="306">
        <f t="shared" ca="1" si="339"/>
        <v>0</v>
      </c>
      <c r="S720" s="307">
        <f t="shared" ca="1" si="340"/>
        <v>6.8519999999999914</v>
      </c>
      <c r="T720" s="304">
        <f t="shared" ca="1" si="320"/>
        <v>67.218119999999914</v>
      </c>
      <c r="U720" s="311">
        <f t="shared" ca="1" si="321"/>
        <v>0</v>
      </c>
      <c r="V720" s="306">
        <f t="shared" ca="1" si="322"/>
        <v>1.1674378444158959</v>
      </c>
      <c r="W720" s="304">
        <f t="shared" ca="1" si="323"/>
        <v>45.268670109421201</v>
      </c>
      <c r="Y720" s="314" t="str">
        <f t="shared" ca="1" si="341"/>
        <v/>
      </c>
      <c r="Z720" s="315" t="str">
        <f t="shared" ca="1" si="342"/>
        <v/>
      </c>
      <c r="AA720" s="316" t="str">
        <f t="shared" ca="1" si="343"/>
        <v/>
      </c>
      <c r="AC720" s="310" t="e">
        <f t="shared" ca="1" si="344"/>
        <v>#N/A</v>
      </c>
      <c r="AD720" s="323" t="e">
        <f t="shared" ca="1" si="345"/>
        <v>#N/A</v>
      </c>
      <c r="AE720" s="324" t="e">
        <f t="shared" ca="1" si="324"/>
        <v>#N/A</v>
      </c>
      <c r="AG720" s="306">
        <f t="shared" ca="1" si="346"/>
        <v>3.2223595715060336</v>
      </c>
      <c r="AH720" s="304">
        <f t="shared" ca="1" si="347"/>
        <v>-6.5642640984865634</v>
      </c>
    </row>
    <row r="721" spans="1:34" x14ac:dyDescent="0.2">
      <c r="A721" s="347">
        <f t="shared" ca="1" si="325"/>
        <v>0.1</v>
      </c>
      <c r="B721" s="304">
        <f t="shared" ca="1" si="326"/>
        <v>35.700000000000195</v>
      </c>
      <c r="D721" s="306">
        <f t="shared" ca="1" si="327"/>
        <v>-0.4522248687457181</v>
      </c>
      <c r="E721" s="307">
        <f t="shared" ca="1" si="328"/>
        <v>-3.2188595552497334</v>
      </c>
      <c r="F721" s="304">
        <f t="shared" ca="1" si="329"/>
        <v>3.2504713763290689</v>
      </c>
      <c r="G721" s="306">
        <f t="shared" ca="1" si="330"/>
        <v>8.4563230300357155</v>
      </c>
      <c r="H721" s="307">
        <f t="shared" ca="1" si="331"/>
        <v>-124.23121596386773</v>
      </c>
      <c r="I721" s="304">
        <f t="shared" ca="1" si="332"/>
        <v>124.51869104294929</v>
      </c>
      <c r="J721" s="306">
        <f t="shared" ca="1" si="333"/>
        <v>510.99603989768713</v>
      </c>
      <c r="K721" s="307">
        <f t="shared" ca="1" si="334"/>
        <v>468.79381742517501</v>
      </c>
      <c r="L721" s="304">
        <f t="shared" ca="1" si="319"/>
        <v>693.45843137652241</v>
      </c>
      <c r="M721" s="306">
        <f t="shared" ca="1" si="335"/>
        <v>-1.5028319380639288</v>
      </c>
      <c r="N721" s="304">
        <f t="shared" ca="1" si="336"/>
        <v>-86.105927368529052</v>
      </c>
      <c r="P721" s="310">
        <f t="shared" ca="1" si="337"/>
        <v>23</v>
      </c>
      <c r="Q721" s="304">
        <f t="shared" ca="1" si="338"/>
        <v>0</v>
      </c>
      <c r="R721" s="306">
        <f t="shared" ca="1" si="339"/>
        <v>0</v>
      </c>
      <c r="S721" s="307">
        <f t="shared" ca="1" si="340"/>
        <v>6.8519999999999914</v>
      </c>
      <c r="T721" s="304">
        <f t="shared" ca="1" si="320"/>
        <v>67.218119999999914</v>
      </c>
      <c r="U721" s="311">
        <f t="shared" ca="1" si="321"/>
        <v>0</v>
      </c>
      <c r="V721" s="306">
        <f t="shared" ca="1" si="322"/>
        <v>1.1688880051782085</v>
      </c>
      <c r="W721" s="304">
        <f t="shared" ca="1" si="323"/>
        <v>45.557335361375706</v>
      </c>
      <c r="Y721" s="314" t="str">
        <f t="shared" ca="1" si="341"/>
        <v/>
      </c>
      <c r="Z721" s="315" t="str">
        <f t="shared" ca="1" si="342"/>
        <v/>
      </c>
      <c r="AA721" s="316" t="str">
        <f t="shared" ca="1" si="343"/>
        <v/>
      </c>
      <c r="AC721" s="310" t="e">
        <f t="shared" ca="1" si="344"/>
        <v>#N/A</v>
      </c>
      <c r="AD721" s="323" t="e">
        <f t="shared" ca="1" si="345"/>
        <v>#N/A</v>
      </c>
      <c r="AE721" s="324" t="e">
        <f t="shared" ca="1" si="324"/>
        <v>#N/A</v>
      </c>
      <c r="AG721" s="306">
        <f t="shared" ca="1" si="346"/>
        <v>3.180355018570153</v>
      </c>
      <c r="AH721" s="304">
        <f t="shared" ca="1" si="347"/>
        <v>-6.6066360346499211</v>
      </c>
    </row>
    <row r="722" spans="1:34" x14ac:dyDescent="0.2">
      <c r="A722" s="347">
        <f t="shared" ca="1" si="325"/>
        <v>0.1</v>
      </c>
      <c r="B722" s="304">
        <f t="shared" ca="1" si="326"/>
        <v>35.800000000000196</v>
      </c>
      <c r="D722" s="306">
        <f t="shared" ca="1" si="327"/>
        <v>-0.45153142178858147</v>
      </c>
      <c r="E722" s="307">
        <f t="shared" ca="1" si="328"/>
        <v>-3.1765852906221586</v>
      </c>
      <c r="F722" s="304">
        <f t="shared" ca="1" si="329"/>
        <v>3.2085159705788406</v>
      </c>
      <c r="G722" s="306">
        <f t="shared" ca="1" si="330"/>
        <v>8.4111698878568575</v>
      </c>
      <c r="H722" s="307">
        <f t="shared" ca="1" si="331"/>
        <v>-124.54887449292994</v>
      </c>
      <c r="I722" s="304">
        <f t="shared" ca="1" si="332"/>
        <v>124.83256753082509</v>
      </c>
      <c r="J722" s="306">
        <f t="shared" ca="1" si="333"/>
        <v>511.83941454358177</v>
      </c>
      <c r="K722" s="307">
        <f t="shared" ca="1" si="334"/>
        <v>456.35481290233514</v>
      </c>
      <c r="L722" s="304">
        <f t="shared" ca="1" si="319"/>
        <v>685.73996641543499</v>
      </c>
      <c r="M722" s="306">
        <f t="shared" ca="1" si="335"/>
        <v>-1.5033656269303326</v>
      </c>
      <c r="N722" s="304">
        <f t="shared" ca="1" si="336"/>
        <v>-86.136505488147108</v>
      </c>
      <c r="P722" s="310">
        <f t="shared" ca="1" si="337"/>
        <v>23</v>
      </c>
      <c r="Q722" s="304">
        <f t="shared" ca="1" si="338"/>
        <v>0</v>
      </c>
      <c r="R722" s="306">
        <f t="shared" ca="1" si="339"/>
        <v>0</v>
      </c>
      <c r="S722" s="307">
        <f t="shared" ca="1" si="340"/>
        <v>6.8519999999999914</v>
      </c>
      <c r="T722" s="304">
        <f t="shared" ca="1" si="320"/>
        <v>67.218119999999914</v>
      </c>
      <c r="U722" s="311">
        <f t="shared" ca="1" si="321"/>
        <v>0</v>
      </c>
      <c r="V722" s="306">
        <f t="shared" ca="1" si="322"/>
        <v>1.170343669395804</v>
      </c>
      <c r="W722" s="304">
        <f t="shared" ca="1" si="323"/>
        <v>45.844320014281713</v>
      </c>
      <c r="Y722" s="314" t="str">
        <f t="shared" ca="1" si="341"/>
        <v/>
      </c>
      <c r="Z722" s="315" t="str">
        <f t="shared" ca="1" si="342"/>
        <v/>
      </c>
      <c r="AA722" s="316" t="str">
        <f t="shared" ca="1" si="343"/>
        <v/>
      </c>
      <c r="AC722" s="310" t="e">
        <f t="shared" ca="1" si="344"/>
        <v>#N/A</v>
      </c>
      <c r="AD722" s="323" t="e">
        <f t="shared" ca="1" si="345"/>
        <v>#N/A</v>
      </c>
      <c r="AE722" s="324" t="e">
        <f t="shared" ca="1" si="324"/>
        <v>#N/A</v>
      </c>
      <c r="AG722" s="306">
        <f t="shared" ca="1" si="346"/>
        <v>3.1385871023272403</v>
      </c>
      <c r="AH722" s="304">
        <f t="shared" ca="1" si="347"/>
        <v>-6.6487646470192301</v>
      </c>
    </row>
    <row r="723" spans="1:34" x14ac:dyDescent="0.2">
      <c r="A723" s="347">
        <f t="shared" ca="1" si="325"/>
        <v>0.1</v>
      </c>
      <c r="B723" s="304">
        <f t="shared" ca="1" si="326"/>
        <v>35.900000000000198</v>
      </c>
      <c r="D723" s="306">
        <f t="shared" ca="1" si="327"/>
        <v>-0.450813261320129</v>
      </c>
      <c r="E723" s="307">
        <f t="shared" ca="1" si="328"/>
        <v>-3.1345571005562434</v>
      </c>
      <c r="F723" s="304">
        <f t="shared" ca="1" si="329"/>
        <v>3.1668092480017886</v>
      </c>
      <c r="G723" s="306">
        <f t="shared" ca="1" si="330"/>
        <v>8.3660885617248439</v>
      </c>
      <c r="H723" s="307">
        <f t="shared" ca="1" si="331"/>
        <v>-124.86233020298556</v>
      </c>
      <c r="I723" s="304">
        <f t="shared" ca="1" si="332"/>
        <v>125.14229077950438</v>
      </c>
      <c r="J723" s="306">
        <f t="shared" ca="1" si="333"/>
        <v>512.67827746606088</v>
      </c>
      <c r="K723" s="307">
        <f t="shared" ca="1" si="334"/>
        <v>443.88425266753939</v>
      </c>
      <c r="L723" s="304">
        <f t="shared" ca="1" si="319"/>
        <v>678.13881023857289</v>
      </c>
      <c r="M723" s="306">
        <f t="shared" ca="1" si="335"/>
        <v>-1.5038938208879951</v>
      </c>
      <c r="N723" s="304">
        <f t="shared" ca="1" si="336"/>
        <v>-86.166768772685487</v>
      </c>
      <c r="P723" s="310">
        <f t="shared" ca="1" si="337"/>
        <v>23</v>
      </c>
      <c r="Q723" s="304">
        <f t="shared" ca="1" si="338"/>
        <v>0</v>
      </c>
      <c r="R723" s="306">
        <f t="shared" ca="1" si="339"/>
        <v>0</v>
      </c>
      <c r="S723" s="307">
        <f t="shared" ca="1" si="340"/>
        <v>6.8519999999999914</v>
      </c>
      <c r="T723" s="304">
        <f t="shared" ca="1" si="320"/>
        <v>67.218119999999914</v>
      </c>
      <c r="U723" s="311">
        <f t="shared" ca="1" si="321"/>
        <v>0</v>
      </c>
      <c r="V723" s="306">
        <f t="shared" ca="1" si="322"/>
        <v>1.1718048045276146</v>
      </c>
      <c r="W723" s="304">
        <f t="shared" ca="1" si="323"/>
        <v>46.129611241902161</v>
      </c>
      <c r="Y723" s="314" t="str">
        <f t="shared" ca="1" si="341"/>
        <v/>
      </c>
      <c r="Z723" s="315" t="str">
        <f t="shared" ca="1" si="342"/>
        <v/>
      </c>
      <c r="AA723" s="316" t="str">
        <f t="shared" ca="1" si="343"/>
        <v/>
      </c>
      <c r="AC723" s="310" t="e">
        <f t="shared" ca="1" si="344"/>
        <v>#N/A</v>
      </c>
      <c r="AD723" s="323" t="e">
        <f t="shared" ca="1" si="345"/>
        <v>#N/A</v>
      </c>
      <c r="AE723" s="324" t="e">
        <f t="shared" ca="1" si="324"/>
        <v>#N/A</v>
      </c>
      <c r="AG723" s="306">
        <f t="shared" ca="1" si="346"/>
        <v>3.0970579202736683</v>
      </c>
      <c r="AH723" s="304">
        <f t="shared" ca="1" si="347"/>
        <v>-6.6906479880738132</v>
      </c>
    </row>
    <row r="724" spans="1:34" x14ac:dyDescent="0.2">
      <c r="A724" s="347">
        <f t="shared" ca="1" si="325"/>
        <v>0.1</v>
      </c>
      <c r="B724" s="304">
        <f t="shared" ca="1" si="326"/>
        <v>36.000000000000199</v>
      </c>
      <c r="D724" s="306">
        <f t="shared" ca="1" si="327"/>
        <v>-0.45007075842425287</v>
      </c>
      <c r="E724" s="307">
        <f t="shared" ca="1" si="328"/>
        <v>-3.0927768629918626</v>
      </c>
      <c r="F724" s="304">
        <f t="shared" ca="1" si="329"/>
        <v>3.12535316593923</v>
      </c>
      <c r="G724" s="306">
        <f t="shared" ca="1" si="330"/>
        <v>8.3210814858824182</v>
      </c>
      <c r="H724" s="307">
        <f t="shared" ca="1" si="331"/>
        <v>-125.17160788928474</v>
      </c>
      <c r="I724" s="304">
        <f t="shared" ca="1" si="332"/>
        <v>125.44788487130241</v>
      </c>
      <c r="J724" s="306">
        <f t="shared" ca="1" si="333"/>
        <v>513.51263596844126</v>
      </c>
      <c r="K724" s="307">
        <f t="shared" ca="1" si="334"/>
        <v>431.38255576292585</v>
      </c>
      <c r="L724" s="304">
        <f t="shared" ca="1" si="319"/>
        <v>670.66097002569836</v>
      </c>
      <c r="M724" s="306">
        <f t="shared" ca="1" si="335"/>
        <v>-1.5044166069988203</v>
      </c>
      <c r="N724" s="304">
        <f t="shared" ca="1" si="336"/>
        <v>-86.196722210423829</v>
      </c>
      <c r="P724" s="310">
        <f t="shared" ca="1" si="337"/>
        <v>23</v>
      </c>
      <c r="Q724" s="304">
        <f t="shared" ca="1" si="338"/>
        <v>0</v>
      </c>
      <c r="R724" s="306">
        <f t="shared" ca="1" si="339"/>
        <v>0</v>
      </c>
      <c r="S724" s="307">
        <f t="shared" ca="1" si="340"/>
        <v>6.8519999999999914</v>
      </c>
      <c r="T724" s="304">
        <f t="shared" ca="1" si="320"/>
        <v>67.218119999999914</v>
      </c>
      <c r="U724" s="311">
        <f t="shared" ca="1" si="321"/>
        <v>0</v>
      </c>
      <c r="V724" s="306">
        <f t="shared" ca="1" si="322"/>
        <v>1.173271378173522</v>
      </c>
      <c r="W724" s="304">
        <f t="shared" ca="1" si="323"/>
        <v>46.413196730957587</v>
      </c>
      <c r="Y724" s="314" t="str">
        <f t="shared" ca="1" si="341"/>
        <v/>
      </c>
      <c r="Z724" s="315" t="str">
        <f t="shared" ca="1" si="342"/>
        <v/>
      </c>
      <c r="AA724" s="316" t="str">
        <f t="shared" ca="1" si="343"/>
        <v/>
      </c>
      <c r="AC724" s="310">
        <f t="shared" ca="1" si="344"/>
        <v>36.000000000000199</v>
      </c>
      <c r="AD724" s="323">
        <f t="shared" ca="1" si="345"/>
        <v>513.51263596844126</v>
      </c>
      <c r="AE724" s="324" t="e">
        <f t="shared" ca="1" si="324"/>
        <v>#N/A</v>
      </c>
      <c r="AG724" s="306">
        <f t="shared" ca="1" si="346"/>
        <v>3.0557694901143186</v>
      </c>
      <c r="AH724" s="304">
        <f t="shared" ca="1" si="347"/>
        <v>-6.7322841859168445</v>
      </c>
    </row>
    <row r="725" spans="1:34" x14ac:dyDescent="0.2">
      <c r="A725" s="347">
        <f t="shared" ca="1" si="325"/>
        <v>0.1</v>
      </c>
      <c r="B725" s="304">
        <f t="shared" ca="1" si="326"/>
        <v>36.1000000000002</v>
      </c>
      <c r="D725" s="306">
        <f t="shared" ca="1" si="327"/>
        <v>-0.44930428359074231</v>
      </c>
      <c r="E725" s="307">
        <f t="shared" ca="1" si="328"/>
        <v>-3.0512463807723034</v>
      </c>
      <c r="F725" s="304">
        <f t="shared" ca="1" si="329"/>
        <v>3.0841496097675081</v>
      </c>
      <c r="G725" s="306">
        <f t="shared" ca="1" si="330"/>
        <v>8.2761510575233448</v>
      </c>
      <c r="H725" s="307">
        <f t="shared" ca="1" si="331"/>
        <v>-125.47673252736197</v>
      </c>
      <c r="I725" s="304">
        <f t="shared" ca="1" si="332"/>
        <v>125.74937408221992</v>
      </c>
      <c r="J725" s="306">
        <f t="shared" ca="1" si="333"/>
        <v>514.34249759561158</v>
      </c>
      <c r="K725" s="307">
        <f t="shared" ca="1" si="334"/>
        <v>418.85013874209352</v>
      </c>
      <c r="L725" s="304">
        <f t="shared" ca="1" si="319"/>
        <v>663.31262882381691</v>
      </c>
      <c r="M725" s="306">
        <f t="shared" ca="1" si="335"/>
        <v>-1.5049340703853749</v>
      </c>
      <c r="N725" s="304">
        <f t="shared" ca="1" si="336"/>
        <v>-86.226370678525953</v>
      </c>
      <c r="P725" s="310">
        <f t="shared" ca="1" si="337"/>
        <v>23</v>
      </c>
      <c r="Q725" s="304">
        <f t="shared" ca="1" si="338"/>
        <v>0</v>
      </c>
      <c r="R725" s="306">
        <f t="shared" ca="1" si="339"/>
        <v>0</v>
      </c>
      <c r="S725" s="307">
        <f t="shared" ca="1" si="340"/>
        <v>6.8519999999999914</v>
      </c>
      <c r="T725" s="304">
        <f t="shared" ca="1" si="320"/>
        <v>67.218119999999914</v>
      </c>
      <c r="U725" s="311">
        <f t="shared" ca="1" si="321"/>
        <v>0</v>
      </c>
      <c r="V725" s="306">
        <f t="shared" ca="1" si="322"/>
        <v>1.1747433580762179</v>
      </c>
      <c r="W725" s="304">
        <f t="shared" ca="1" si="323"/>
        <v>46.695064675817299</v>
      </c>
      <c r="Y725" s="314" t="str">
        <f t="shared" ca="1" si="341"/>
        <v/>
      </c>
      <c r="Z725" s="315" t="str">
        <f t="shared" ca="1" si="342"/>
        <v/>
      </c>
      <c r="AA725" s="316" t="str">
        <f t="shared" ca="1" si="343"/>
        <v/>
      </c>
      <c r="AC725" s="310" t="e">
        <f t="shared" ca="1" si="344"/>
        <v>#N/A</v>
      </c>
      <c r="AD725" s="323" t="e">
        <f t="shared" ca="1" si="345"/>
        <v>#N/A</v>
      </c>
      <c r="AE725" s="324" t="e">
        <f t="shared" ca="1" si="324"/>
        <v>#N/A</v>
      </c>
      <c r="AG725" s="306">
        <f t="shared" ca="1" si="346"/>
        <v>3.0147237506626992</v>
      </c>
      <c r="AH725" s="304">
        <f t="shared" ca="1" si="347"/>
        <v>-6.7736714435139591</v>
      </c>
    </row>
    <row r="726" spans="1:34" x14ac:dyDescent="0.2">
      <c r="A726" s="347">
        <f t="shared" ca="1" si="325"/>
        <v>0.1</v>
      </c>
      <c r="B726" s="304">
        <f t="shared" ca="1" si="326"/>
        <v>36.200000000000202</v>
      </c>
      <c r="D726" s="306">
        <f t="shared" ca="1" si="327"/>
        <v>-0.44851420662309338</v>
      </c>
      <c r="E726" s="307">
        <f t="shared" ca="1" si="328"/>
        <v>-3.0099673824212108</v>
      </c>
      <c r="F726" s="304">
        <f t="shared" ca="1" si="329"/>
        <v>3.0432003937930769</v>
      </c>
      <c r="G726" s="306">
        <f t="shared" ca="1" si="330"/>
        <v>8.2312996368610349</v>
      </c>
      <c r="H726" s="307">
        <f t="shared" ca="1" si="331"/>
        <v>-125.77772926560409</v>
      </c>
      <c r="I726" s="304">
        <f t="shared" ca="1" si="332"/>
        <v>126.04678287415109</v>
      </c>
      <c r="J726" s="306">
        <f t="shared" ca="1" si="333"/>
        <v>515.16787013033081</v>
      </c>
      <c r="K726" s="307">
        <f t="shared" ca="1" si="334"/>
        <v>406.28741565244519</v>
      </c>
      <c r="L726" s="304">
        <f t="shared" ca="1" si="319"/>
        <v>656.10014367637825</v>
      </c>
      <c r="M726" s="306">
        <f t="shared" ca="1" si="335"/>
        <v>-1.5054462942844293</v>
      </c>
      <c r="N726" s="304">
        <f t="shared" ca="1" si="336"/>
        <v>-86.255718946107507</v>
      </c>
      <c r="P726" s="310">
        <f t="shared" ca="1" si="337"/>
        <v>23</v>
      </c>
      <c r="Q726" s="304">
        <f t="shared" ca="1" si="338"/>
        <v>0</v>
      </c>
      <c r="R726" s="306">
        <f t="shared" ca="1" si="339"/>
        <v>0</v>
      </c>
      <c r="S726" s="307">
        <f t="shared" ca="1" si="340"/>
        <v>6.8519999999999914</v>
      </c>
      <c r="T726" s="304">
        <f t="shared" ca="1" si="320"/>
        <v>67.218119999999914</v>
      </c>
      <c r="U726" s="311">
        <f t="shared" ca="1" si="321"/>
        <v>0</v>
      </c>
      <c r="V726" s="306">
        <f t="shared" ca="1" si="322"/>
        <v>1.1762207121230208</v>
      </c>
      <c r="W726" s="304">
        <f t="shared" ca="1" si="323"/>
        <v>46.975203773102905</v>
      </c>
      <c r="Y726" s="314" t="str">
        <f t="shared" ca="1" si="341"/>
        <v/>
      </c>
      <c r="Z726" s="315" t="str">
        <f t="shared" ca="1" si="342"/>
        <v/>
      </c>
      <c r="AA726" s="316" t="str">
        <f t="shared" ca="1" si="343"/>
        <v/>
      </c>
      <c r="AC726" s="310" t="e">
        <f t="shared" ca="1" si="344"/>
        <v>#N/A</v>
      </c>
      <c r="AD726" s="323" t="e">
        <f t="shared" ca="1" si="345"/>
        <v>#N/A</v>
      </c>
      <c r="AE726" s="324" t="e">
        <f t="shared" ca="1" si="324"/>
        <v>#N/A</v>
      </c>
      <c r="AG726" s="306">
        <f t="shared" ca="1" si="346"/>
        <v>2.9739225627491122</v>
      </c>
      <c r="AH726" s="304">
        <f t="shared" ca="1" si="347"/>
        <v>-6.8148080379184703</v>
      </c>
    </row>
    <row r="727" spans="1:34" x14ac:dyDescent="0.2">
      <c r="A727" s="347">
        <f t="shared" ca="1" si="325"/>
        <v>0.1</v>
      </c>
      <c r="B727" s="304">
        <f t="shared" ca="1" si="326"/>
        <v>36.300000000000203</v>
      </c>
      <c r="D727" s="306">
        <f t="shared" ca="1" si="327"/>
        <v>-0.44770089654839207</v>
      </c>
      <c r="E727" s="307">
        <f t="shared" ca="1" si="328"/>
        <v>-2.9689415229323721</v>
      </c>
      <c r="F727" s="304">
        <f t="shared" ca="1" si="329"/>
        <v>3.0025072621664428</v>
      </c>
      <c r="G727" s="306">
        <f t="shared" ca="1" si="330"/>
        <v>8.1865295472061952</v>
      </c>
      <c r="H727" s="307">
        <f t="shared" ca="1" si="331"/>
        <v>-126.07462341789733</v>
      </c>
      <c r="I727" s="304">
        <f t="shared" ca="1" si="332"/>
        <v>126.34013588718315</v>
      </c>
      <c r="J727" s="306">
        <f t="shared" ca="1" si="333"/>
        <v>515.98876158953419</v>
      </c>
      <c r="K727" s="307">
        <f t="shared" ca="1" si="334"/>
        <v>393.69479801827015</v>
      </c>
      <c r="L727" s="304">
        <f t="shared" ca="1" si="319"/>
        <v>649.03004250446497</v>
      </c>
      <c r="M727" s="306">
        <f t="shared" ca="1" si="335"/>
        <v>-1.5059533600987536</v>
      </c>
      <c r="N727" s="304">
        <f t="shared" ca="1" si="336"/>
        <v>-86.284771677203651</v>
      </c>
      <c r="P727" s="310">
        <f t="shared" ca="1" si="337"/>
        <v>23</v>
      </c>
      <c r="Q727" s="304">
        <f t="shared" ca="1" si="338"/>
        <v>0</v>
      </c>
      <c r="R727" s="306">
        <f t="shared" ca="1" si="339"/>
        <v>0</v>
      </c>
      <c r="S727" s="307">
        <f t="shared" ca="1" si="340"/>
        <v>6.8519999999999914</v>
      </c>
      <c r="T727" s="304">
        <f t="shared" ca="1" si="320"/>
        <v>67.218119999999914</v>
      </c>
      <c r="U727" s="311">
        <f t="shared" ca="1" si="321"/>
        <v>0</v>
      </c>
      <c r="V727" s="306">
        <f t="shared" ca="1" si="322"/>
        <v>1.1777034083476385</v>
      </c>
      <c r="W727" s="304">
        <f t="shared" ca="1" si="323"/>
        <v>47.253603216208752</v>
      </c>
      <c r="Y727" s="314" t="str">
        <f t="shared" ca="1" si="341"/>
        <v/>
      </c>
      <c r="Z727" s="315" t="str">
        <f t="shared" ca="1" si="342"/>
        <v/>
      </c>
      <c r="AA727" s="316" t="str">
        <f t="shared" ca="1" si="343"/>
        <v/>
      </c>
      <c r="AC727" s="310" t="e">
        <f t="shared" ca="1" si="344"/>
        <v>#N/A</v>
      </c>
      <c r="AD727" s="323" t="e">
        <f t="shared" ca="1" si="345"/>
        <v>#N/A</v>
      </c>
      <c r="AE727" s="324" t="e">
        <f t="shared" ca="1" si="324"/>
        <v>#N/A</v>
      </c>
      <c r="AG727" s="306">
        <f t="shared" ca="1" si="346"/>
        <v>2.9333677101364657</v>
      </c>
      <c r="AH727" s="304">
        <f t="shared" ca="1" si="347"/>
        <v>-6.8556923194837953</v>
      </c>
    </row>
    <row r="728" spans="1:34" x14ac:dyDescent="0.2">
      <c r="A728" s="347">
        <f t="shared" ca="1" si="325"/>
        <v>0.1</v>
      </c>
      <c r="B728" s="304">
        <f t="shared" ca="1" si="326"/>
        <v>36.400000000000205</v>
      </c>
      <c r="D728" s="306">
        <f t="shared" ca="1" si="327"/>
        <v>-0.44686472152924134</v>
      </c>
      <c r="E728" s="307">
        <f t="shared" ca="1" si="328"/>
        <v>-2.9281703845716835</v>
      </c>
      <c r="F728" s="304">
        <f t="shared" ca="1" si="329"/>
        <v>2.9620718898146423</v>
      </c>
      <c r="G728" s="306">
        <f t="shared" ca="1" si="330"/>
        <v>8.1418430750532718</v>
      </c>
      <c r="H728" s="307">
        <f t="shared" ca="1" si="331"/>
        <v>-126.3674404563545</v>
      </c>
      <c r="I728" s="304">
        <f t="shared" ca="1" si="332"/>
        <v>126.6294579319879</v>
      </c>
      <c r="J728" s="306">
        <f t="shared" ca="1" si="333"/>
        <v>516.80518022064712</v>
      </c>
      <c r="K728" s="307">
        <f t="shared" ca="1" si="334"/>
        <v>381.07269482455757</v>
      </c>
      <c r="L728" s="304">
        <f t="shared" ca="1" si="319"/>
        <v>642.10901959382716</v>
      </c>
      <c r="M728" s="306">
        <f t="shared" ca="1" si="335"/>
        <v>-1.5064553474472269</v>
      </c>
      <c r="N728" s="304">
        <f t="shared" ca="1" si="336"/>
        <v>-86.313533433640131</v>
      </c>
      <c r="P728" s="310">
        <f t="shared" ca="1" si="337"/>
        <v>23</v>
      </c>
      <c r="Q728" s="304">
        <f t="shared" ca="1" si="338"/>
        <v>0</v>
      </c>
      <c r="R728" s="306">
        <f t="shared" ca="1" si="339"/>
        <v>0</v>
      </c>
      <c r="S728" s="307">
        <f t="shared" ca="1" si="340"/>
        <v>6.8519999999999914</v>
      </c>
      <c r="T728" s="304">
        <f t="shared" ca="1" si="320"/>
        <v>67.218119999999914</v>
      </c>
      <c r="U728" s="311">
        <f t="shared" ca="1" si="321"/>
        <v>0</v>
      </c>
      <c r="V728" s="306">
        <f t="shared" ca="1" si="322"/>
        <v>1.1791914149318921</v>
      </c>
      <c r="W728" s="304">
        <f t="shared" ca="1" si="323"/>
        <v>47.530252689743968</v>
      </c>
      <c r="Y728" s="314" t="str">
        <f t="shared" ca="1" si="341"/>
        <v/>
      </c>
      <c r="Z728" s="315" t="str">
        <f t="shared" ca="1" si="342"/>
        <v/>
      </c>
      <c r="AA728" s="316" t="str">
        <f t="shared" ca="1" si="343"/>
        <v/>
      </c>
      <c r="AC728" s="310" t="e">
        <f t="shared" ca="1" si="344"/>
        <v>#N/A</v>
      </c>
      <c r="AD728" s="323" t="e">
        <f t="shared" ca="1" si="345"/>
        <v>#N/A</v>
      </c>
      <c r="AE728" s="324" t="e">
        <f t="shared" ca="1" si="324"/>
        <v>#N/A</v>
      </c>
      <c r="AG728" s="306">
        <f t="shared" ca="1" si="346"/>
        <v>2.8930609004433645</v>
      </c>
      <c r="AH728" s="304">
        <f t="shared" ca="1" si="347"/>
        <v>-6.8963227110637497</v>
      </c>
    </row>
    <row r="729" spans="1:34" x14ac:dyDescent="0.2">
      <c r="A729" s="347">
        <f t="shared" ca="1" si="325"/>
        <v>0.1</v>
      </c>
      <c r="B729" s="304">
        <f t="shared" ca="1" si="326"/>
        <v>36.500000000000206</v>
      </c>
      <c r="D729" s="306">
        <f t="shared" ca="1" si="327"/>
        <v>-0.44600604877776168</v>
      </c>
      <c r="E729" s="307">
        <f t="shared" ca="1" si="328"/>
        <v>-2.8876554776906067</v>
      </c>
      <c r="F729" s="304">
        <f t="shared" ca="1" si="329"/>
        <v>2.9218958833919659</v>
      </c>
      <c r="G729" s="306">
        <f t="shared" ca="1" si="330"/>
        <v>8.0972424701754964</v>
      </c>
      <c r="H729" s="307">
        <f t="shared" ca="1" si="331"/>
        <v>-126.65620600412356</v>
      </c>
      <c r="I729" s="304">
        <f t="shared" ca="1" si="332"/>
        <v>126.91477398230593</v>
      </c>
      <c r="J729" s="306">
        <f t="shared" ca="1" si="333"/>
        <v>517.61713449790852</v>
      </c>
      <c r="K729" s="307">
        <f t="shared" ca="1" si="334"/>
        <v>368.4215125015337</v>
      </c>
      <c r="L729" s="304">
        <f t="shared" ca="1" si="319"/>
        <v>635.34392953717884</v>
      </c>
      <c r="M729" s="306">
        <f t="shared" ca="1" si="335"/>
        <v>-1.5069523342133291</v>
      </c>
      <c r="N729" s="304">
        <f t="shared" ca="1" si="336"/>
        <v>-86.342008677811648</v>
      </c>
      <c r="P729" s="310">
        <f t="shared" ca="1" si="337"/>
        <v>23</v>
      </c>
      <c r="Q729" s="304">
        <f t="shared" ca="1" si="338"/>
        <v>0</v>
      </c>
      <c r="R729" s="306">
        <f t="shared" ca="1" si="339"/>
        <v>0</v>
      </c>
      <c r="S729" s="307">
        <f t="shared" ca="1" si="340"/>
        <v>6.8519999999999914</v>
      </c>
      <c r="T729" s="304">
        <f t="shared" ca="1" si="320"/>
        <v>67.218119999999914</v>
      </c>
      <c r="U729" s="311">
        <f t="shared" ca="1" si="321"/>
        <v>0</v>
      </c>
      <c r="V729" s="306">
        <f t="shared" ca="1" si="322"/>
        <v>1.1806847002073901</v>
      </c>
      <c r="W729" s="304">
        <f t="shared" ca="1" si="323"/>
        <v>47.805142363900075</v>
      </c>
      <c r="Y729" s="314" t="str">
        <f t="shared" ca="1" si="341"/>
        <v/>
      </c>
      <c r="Z729" s="315" t="str">
        <f t="shared" ca="1" si="342"/>
        <v/>
      </c>
      <c r="AA729" s="316" t="str">
        <f t="shared" ca="1" si="343"/>
        <v/>
      </c>
      <c r="AC729" s="310" t="e">
        <f t="shared" ca="1" si="344"/>
        <v>#N/A</v>
      </c>
      <c r="AD729" s="323" t="e">
        <f t="shared" ca="1" si="345"/>
        <v>#N/A</v>
      </c>
      <c r="AE729" s="324" t="e">
        <f t="shared" ca="1" si="324"/>
        <v>#N/A</v>
      </c>
      <c r="AG729" s="306">
        <f t="shared" ca="1" si="346"/>
        <v>2.8530037660739191</v>
      </c>
      <c r="AH729" s="304">
        <f t="shared" ca="1" si="347"/>
        <v>-6.9366977072014047</v>
      </c>
    </row>
    <row r="730" spans="1:34" x14ac:dyDescent="0.2">
      <c r="A730" s="347">
        <f t="shared" ca="1" si="325"/>
        <v>0.1</v>
      </c>
      <c r="B730" s="304">
        <f t="shared" ca="1" si="326"/>
        <v>36.600000000000207</v>
      </c>
      <c r="D730" s="306">
        <f t="shared" ca="1" si="327"/>
        <v>-0.44512524447163798</v>
      </c>
      <c r="E730" s="307">
        <f t="shared" ca="1" si="328"/>
        <v>-2.8473982415505246</v>
      </c>
      <c r="F730" s="304">
        <f t="shared" ca="1" si="329"/>
        <v>2.8819807822487218</v>
      </c>
      <c r="G730" s="306">
        <f t="shared" ca="1" si="330"/>
        <v>8.0527299457283323</v>
      </c>
      <c r="H730" s="307">
        <f t="shared" ca="1" si="331"/>
        <v>-126.94094582827861</v>
      </c>
      <c r="I730" s="304">
        <f t="shared" ca="1" si="332"/>
        <v>127.19610916752444</v>
      </c>
      <c r="J730" s="306">
        <f t="shared" ca="1" si="333"/>
        <v>518.4246331187037</v>
      </c>
      <c r="K730" s="307">
        <f t="shared" ca="1" si="334"/>
        <v>355.74165490991356</v>
      </c>
      <c r="L730" s="304">
        <f t="shared" ca="1" si="319"/>
        <v>628.74177947891019</v>
      </c>
      <c r="M730" s="306">
        <f t="shared" ca="1" si="335"/>
        <v>-1.5074443965920732</v>
      </c>
      <c r="N730" s="304">
        <f t="shared" ca="1" si="336"/>
        <v>-86.370201775370845</v>
      </c>
      <c r="P730" s="310">
        <f t="shared" ca="1" si="337"/>
        <v>23</v>
      </c>
      <c r="Q730" s="304">
        <f t="shared" ca="1" si="338"/>
        <v>0</v>
      </c>
      <c r="R730" s="306">
        <f t="shared" ca="1" si="339"/>
        <v>0</v>
      </c>
      <c r="S730" s="307">
        <f t="shared" ca="1" si="340"/>
        <v>6.8519999999999914</v>
      </c>
      <c r="T730" s="304">
        <f t="shared" ca="1" si="320"/>
        <v>67.218119999999914</v>
      </c>
      <c r="U730" s="311">
        <f t="shared" ca="1" si="321"/>
        <v>0</v>
      </c>
      <c r="V730" s="306">
        <f t="shared" ca="1" si="322"/>
        <v>1.1821832326571573</v>
      </c>
      <c r="W730" s="304">
        <f t="shared" ca="1" si="323"/>
        <v>48.078262888748768</v>
      </c>
      <c r="Y730" s="314" t="str">
        <f t="shared" ca="1" si="341"/>
        <v/>
      </c>
      <c r="Z730" s="315" t="str">
        <f t="shared" ca="1" si="342"/>
        <v/>
      </c>
      <c r="AA730" s="316" t="str">
        <f t="shared" ca="1" si="343"/>
        <v/>
      </c>
      <c r="AC730" s="310" t="e">
        <f t="shared" ca="1" si="344"/>
        <v>#N/A</v>
      </c>
      <c r="AD730" s="323" t="e">
        <f t="shared" ca="1" si="345"/>
        <v>#N/A</v>
      </c>
      <c r="AE730" s="324" t="e">
        <f t="shared" ca="1" si="324"/>
        <v>#N/A</v>
      </c>
      <c r="AG730" s="306">
        <f t="shared" ca="1" si="346"/>
        <v>2.81319786515395</v>
      </c>
      <c r="AH730" s="304">
        <f t="shared" ca="1" si="347"/>
        <v>-6.9768158733070829</v>
      </c>
    </row>
    <row r="731" spans="1:34" x14ac:dyDescent="0.2">
      <c r="A731" s="347">
        <f t="shared" ca="1" si="325"/>
        <v>0.1</v>
      </c>
      <c r="B731" s="304">
        <f t="shared" ca="1" si="326"/>
        <v>36.700000000000209</v>
      </c>
      <c r="D731" s="306">
        <f t="shared" ca="1" si="327"/>
        <v>-0.44422267367221235</v>
      </c>
      <c r="E731" s="307">
        <f t="shared" ca="1" si="328"/>
        <v>-2.807400045157344</v>
      </c>
      <c r="F731" s="304">
        <f t="shared" ca="1" si="329"/>
        <v>2.8423280594178335</v>
      </c>
      <c r="G731" s="306">
        <f t="shared" ca="1" si="330"/>
        <v>8.0083076783611116</v>
      </c>
      <c r="H731" s="307">
        <f t="shared" ca="1" si="331"/>
        <v>-127.22168583279435</v>
      </c>
      <c r="I731" s="304">
        <f t="shared" ca="1" si="332"/>
        <v>127.47348876534886</v>
      </c>
      <c r="J731" s="306">
        <f t="shared" ca="1" si="333"/>
        <v>519.22768499990821</v>
      </c>
      <c r="K731" s="307">
        <f t="shared" ca="1" si="334"/>
        <v>343.03352332685989</v>
      </c>
      <c r="L731" s="304">
        <f t="shared" ca="1" si="319"/>
        <v>622.30971950982996</v>
      </c>
      <c r="M731" s="306">
        <f t="shared" ca="1" si="335"/>
        <v>-1.5079316091354376</v>
      </c>
      <c r="N731" s="304">
        <f t="shared" ca="1" si="336"/>
        <v>-86.398116997831465</v>
      </c>
      <c r="P731" s="310">
        <f t="shared" ca="1" si="337"/>
        <v>23</v>
      </c>
      <c r="Q731" s="304">
        <f t="shared" ca="1" si="338"/>
        <v>0</v>
      </c>
      <c r="R731" s="306">
        <f t="shared" ca="1" si="339"/>
        <v>0</v>
      </c>
      <c r="S731" s="307">
        <f t="shared" ca="1" si="340"/>
        <v>6.8519999999999914</v>
      </c>
      <c r="T731" s="304">
        <f t="shared" ca="1" si="320"/>
        <v>67.218119999999914</v>
      </c>
      <c r="U731" s="311">
        <f t="shared" ca="1" si="321"/>
        <v>0</v>
      </c>
      <c r="V731" s="306">
        <f t="shared" ca="1" si="322"/>
        <v>1.1836869809172215</v>
      </c>
      <c r="W731" s="304">
        <f t="shared" ca="1" si="323"/>
        <v>48.349605388474124</v>
      </c>
      <c r="Y731" s="314" t="str">
        <f t="shared" ca="1" si="341"/>
        <v/>
      </c>
      <c r="Z731" s="315" t="str">
        <f t="shared" ca="1" si="342"/>
        <v/>
      </c>
      <c r="AA731" s="316" t="str">
        <f t="shared" ca="1" si="343"/>
        <v/>
      </c>
      <c r="AC731" s="310" t="e">
        <f t="shared" ca="1" si="344"/>
        <v>#N/A</v>
      </c>
      <c r="AD731" s="323" t="e">
        <f t="shared" ca="1" si="345"/>
        <v>#N/A</v>
      </c>
      <c r="AE731" s="324" t="e">
        <f t="shared" ca="1" si="324"/>
        <v>#N/A</v>
      </c>
      <c r="AG731" s="306">
        <f t="shared" ca="1" si="346"/>
        <v>2.7736446824731118</v>
      </c>
      <c r="AH731" s="304">
        <f t="shared" ca="1" si="347"/>
        <v>-7.0166758448261568</v>
      </c>
    </row>
    <row r="732" spans="1:34" x14ac:dyDescent="0.2">
      <c r="A732" s="347">
        <f t="shared" ca="1" si="325"/>
        <v>0.1</v>
      </c>
      <c r="B732" s="304">
        <f t="shared" ca="1" si="326"/>
        <v>36.80000000000021</v>
      </c>
      <c r="D732" s="306">
        <f t="shared" ca="1" si="327"/>
        <v>-0.44329870024461071</v>
      </c>
      <c r="E732" s="307">
        <f t="shared" ca="1" si="328"/>
        <v>-2.7676621881057022</v>
      </c>
      <c r="F732" s="304">
        <f t="shared" ca="1" si="329"/>
        <v>2.8029391226190774</v>
      </c>
      <c r="G732" s="306">
        <f t="shared" ca="1" si="330"/>
        <v>7.9639778083366508</v>
      </c>
      <c r="H732" s="307">
        <f t="shared" ca="1" si="331"/>
        <v>-127.49845205160491</v>
      </c>
      <c r="I732" s="304">
        <f t="shared" ca="1" si="332"/>
        <v>127.74693819456917</v>
      </c>
      <c r="J732" s="306">
        <f t="shared" ca="1" si="333"/>
        <v>520.02629927424312</v>
      </c>
      <c r="K732" s="307">
        <f t="shared" ca="1" si="334"/>
        <v>330.29751643263995</v>
      </c>
      <c r="L732" s="304">
        <f t="shared" ca="1" si="319"/>
        <v>616.05503106332537</v>
      </c>
      <c r="M732" s="306">
        <f t="shared" ca="1" si="335"/>
        <v>-1.508414044796351</v>
      </c>
      <c r="N732" s="304">
        <f t="shared" ca="1" si="336"/>
        <v>-86.425758525088412</v>
      </c>
      <c r="P732" s="310">
        <f t="shared" ca="1" si="337"/>
        <v>23</v>
      </c>
      <c r="Q732" s="304">
        <f t="shared" ca="1" si="338"/>
        <v>0</v>
      </c>
      <c r="R732" s="306">
        <f t="shared" ca="1" si="339"/>
        <v>0</v>
      </c>
      <c r="S732" s="307">
        <f t="shared" ca="1" si="340"/>
        <v>6.8519999999999914</v>
      </c>
      <c r="T732" s="304">
        <f t="shared" ca="1" si="320"/>
        <v>67.218119999999914</v>
      </c>
      <c r="U732" s="311">
        <f t="shared" ca="1" si="321"/>
        <v>0</v>
      </c>
      <c r="V732" s="306">
        <f t="shared" ca="1" si="322"/>
        <v>1.1851959137781489</v>
      </c>
      <c r="W732" s="304">
        <f t="shared" ca="1" si="323"/>
        <v>48.619161455543093</v>
      </c>
      <c r="Y732" s="314" t="str">
        <f t="shared" ca="1" si="341"/>
        <v/>
      </c>
      <c r="Z732" s="315" t="str">
        <f t="shared" ca="1" si="342"/>
        <v/>
      </c>
      <c r="AA732" s="316" t="str">
        <f t="shared" ca="1" si="343"/>
        <v/>
      </c>
      <c r="AC732" s="310" t="e">
        <f t="shared" ca="1" si="344"/>
        <v>#N/A</v>
      </c>
      <c r="AD732" s="323" t="e">
        <f t="shared" ca="1" si="345"/>
        <v>#N/A</v>
      </c>
      <c r="AE732" s="324" t="e">
        <f t="shared" ca="1" si="324"/>
        <v>#N/A</v>
      </c>
      <c r="AG732" s="306">
        <f t="shared" ca="1" si="346"/>
        <v>2.7343456304324469</v>
      </c>
      <c r="AH732" s="304">
        <f t="shared" ca="1" si="347"/>
        <v>-7.056276326397283</v>
      </c>
    </row>
    <row r="733" spans="1:34" x14ac:dyDescent="0.2">
      <c r="A733" s="347">
        <f t="shared" ca="1" si="325"/>
        <v>0.1</v>
      </c>
      <c r="B733" s="304">
        <f t="shared" ca="1" si="326"/>
        <v>36.900000000000212</v>
      </c>
      <c r="D733" s="306">
        <f t="shared" ca="1" si="327"/>
        <v>-0.44235368677991288</v>
      </c>
      <c r="E733" s="307">
        <f t="shared" ca="1" si="328"/>
        <v>-2.7281859014322158</v>
      </c>
      <c r="F733" s="304">
        <f t="shared" ca="1" si="329"/>
        <v>2.763815315280906</v>
      </c>
      <c r="G733" s="306">
        <f t="shared" ca="1" si="330"/>
        <v>7.9197424396586591</v>
      </c>
      <c r="H733" s="307">
        <f t="shared" ca="1" si="331"/>
        <v>-127.77127064174813</v>
      </c>
      <c r="I733" s="304">
        <f t="shared" ca="1" si="332"/>
        <v>128.01648300792121</v>
      </c>
      <c r="J733" s="306">
        <f t="shared" ca="1" si="333"/>
        <v>520.82048528664291</v>
      </c>
      <c r="K733" s="307">
        <f t="shared" ca="1" si="334"/>
        <v>317.53403029797232</v>
      </c>
      <c r="L733" s="304">
        <f t="shared" ca="1" si="319"/>
        <v>609.98511317202474</v>
      </c>
      <c r="M733" s="306">
        <f t="shared" ca="1" si="335"/>
        <v>-1.5088917749712869</v>
      </c>
      <c r="N733" s="304">
        <f t="shared" ca="1" si="336"/>
        <v>-86.453130447858285</v>
      </c>
      <c r="P733" s="310">
        <f t="shared" ca="1" si="337"/>
        <v>23</v>
      </c>
      <c r="Q733" s="304">
        <f t="shared" ca="1" si="338"/>
        <v>0</v>
      </c>
      <c r="R733" s="306">
        <f t="shared" ca="1" si="339"/>
        <v>0</v>
      </c>
      <c r="S733" s="307">
        <f t="shared" ca="1" si="340"/>
        <v>6.8519999999999914</v>
      </c>
      <c r="T733" s="304">
        <f t="shared" ca="1" si="320"/>
        <v>67.218119999999914</v>
      </c>
      <c r="U733" s="311">
        <f t="shared" ca="1" si="321"/>
        <v>0</v>
      </c>
      <c r="V733" s="306">
        <f t="shared" ca="1" si="322"/>
        <v>1.1867100001865425</v>
      </c>
      <c r="W733" s="304">
        <f t="shared" ca="1" si="323"/>
        <v>48.88692314481893</v>
      </c>
      <c r="Y733" s="314" t="str">
        <f t="shared" ca="1" si="341"/>
        <v/>
      </c>
      <c r="Z733" s="315" t="str">
        <f t="shared" ca="1" si="342"/>
        <v/>
      </c>
      <c r="AA733" s="316" t="str">
        <f t="shared" ca="1" si="343"/>
        <v/>
      </c>
      <c r="AC733" s="310" t="e">
        <f t="shared" ca="1" si="344"/>
        <v>#N/A</v>
      </c>
      <c r="AD733" s="323" t="e">
        <f t="shared" ca="1" si="345"/>
        <v>#N/A</v>
      </c>
      <c r="AE733" s="324" t="e">
        <f t="shared" ca="1" si="324"/>
        <v>#N/A</v>
      </c>
      <c r="AG733" s="306">
        <f t="shared" ca="1" si="346"/>
        <v>2.6953020499970508</v>
      </c>
      <c r="AH733" s="304">
        <f t="shared" ca="1" si="347"/>
        <v>-7.0956160910016282</v>
      </c>
    </row>
    <row r="734" spans="1:34" x14ac:dyDescent="0.2">
      <c r="A734" s="347">
        <f t="shared" ca="1" si="325"/>
        <v>0.1</v>
      </c>
      <c r="B734" s="304">
        <f t="shared" ca="1" si="326"/>
        <v>37.000000000000213</v>
      </c>
      <c r="D734" s="306">
        <f t="shared" ca="1" si="327"/>
        <v>-0.44138799451933797</v>
      </c>
      <c r="E734" s="307">
        <f t="shared" ca="1" si="328"/>
        <v>-2.6889723484771038</v>
      </c>
      <c r="F734" s="304">
        <f t="shared" ca="1" si="329"/>
        <v>2.7249579175796961</v>
      </c>
      <c r="G734" s="306">
        <f t="shared" ca="1" si="330"/>
        <v>7.8756036402067249</v>
      </c>
      <c r="H734" s="307">
        <f t="shared" ca="1" si="331"/>
        <v>-128.04016787659583</v>
      </c>
      <c r="I734" s="304">
        <f t="shared" ca="1" si="332"/>
        <v>128.28214888504354</v>
      </c>
      <c r="J734" s="306">
        <f t="shared" ca="1" si="333"/>
        <v>521.61025259063615</v>
      </c>
      <c r="K734" s="307">
        <f t="shared" ca="1" si="334"/>
        <v>304.7434583720551</v>
      </c>
      <c r="L734" s="304">
        <f t="shared" ca="1" si="319"/>
        <v>604.10746645628194</v>
      </c>
      <c r="M734" s="306">
        <f t="shared" ca="1" si="335"/>
        <v>-1.5093648695415174</v>
      </c>
      <c r="N734" s="304">
        <f t="shared" ca="1" si="336"/>
        <v>-86.480236770043049</v>
      </c>
      <c r="P734" s="310">
        <f t="shared" ca="1" si="337"/>
        <v>23</v>
      </c>
      <c r="Q734" s="304">
        <f t="shared" ca="1" si="338"/>
        <v>0</v>
      </c>
      <c r="R734" s="306">
        <f t="shared" ca="1" si="339"/>
        <v>0</v>
      </c>
      <c r="S734" s="307">
        <f t="shared" ca="1" si="340"/>
        <v>6.8519999999999914</v>
      </c>
      <c r="T734" s="304">
        <f t="shared" ca="1" si="320"/>
        <v>67.218119999999914</v>
      </c>
      <c r="U734" s="311">
        <f t="shared" ca="1" si="321"/>
        <v>0</v>
      </c>
      <c r="V734" s="306">
        <f t="shared" ca="1" si="322"/>
        <v>1.1882292092464886</v>
      </c>
      <c r="W734" s="304">
        <f t="shared" ca="1" si="323"/>
        <v>49.152882967620997</v>
      </c>
      <c r="Y734" s="314" t="str">
        <f t="shared" ca="1" si="341"/>
        <v/>
      </c>
      <c r="Z734" s="315" t="str">
        <f t="shared" ca="1" si="342"/>
        <v/>
      </c>
      <c r="AA734" s="316" t="str">
        <f t="shared" ca="1" si="343"/>
        <v/>
      </c>
      <c r="AC734" s="310">
        <f t="shared" ca="1" si="344"/>
        <v>37.000000000000213</v>
      </c>
      <c r="AD734" s="323">
        <f t="shared" ca="1" si="345"/>
        <v>521.61025259063615</v>
      </c>
      <c r="AE734" s="324" t="e">
        <f t="shared" ca="1" si="324"/>
        <v>#N/A</v>
      </c>
      <c r="AG734" s="306">
        <f t="shared" ca="1" si="346"/>
        <v>2.6565152116532644</v>
      </c>
      <c r="AH734" s="304">
        <f t="shared" ca="1" si="347"/>
        <v>-7.1346939791037638</v>
      </c>
    </row>
    <row r="735" spans="1:34" x14ac:dyDescent="0.2">
      <c r="A735" s="347">
        <f t="shared" ca="1" si="325"/>
        <v>0.1</v>
      </c>
      <c r="B735" s="304">
        <f t="shared" ca="1" si="326"/>
        <v>37.100000000000215</v>
      </c>
      <c r="D735" s="306">
        <f t="shared" ca="1" si="327"/>
        <v>-0.44040198328043245</v>
      </c>
      <c r="E735" s="307">
        <f t="shared" ca="1" si="328"/>
        <v>-2.6500226257536585</v>
      </c>
      <c r="F735" s="304">
        <f t="shared" ca="1" si="329"/>
        <v>2.6863681474964771</v>
      </c>
      <c r="G735" s="306">
        <f t="shared" ca="1" si="330"/>
        <v>7.8315634418786813</v>
      </c>
      <c r="H735" s="307">
        <f t="shared" ca="1" si="331"/>
        <v>-128.3051701391712</v>
      </c>
      <c r="I735" s="304">
        <f t="shared" ca="1" si="332"/>
        <v>128.54396162553041</v>
      </c>
      <c r="J735" s="306">
        <f t="shared" ca="1" si="333"/>
        <v>522.39561094474038</v>
      </c>
      <c r="K735" s="307">
        <f t="shared" ca="1" si="334"/>
        <v>291.92619147126675</v>
      </c>
      <c r="L735" s="304">
        <f t="shared" ca="1" si="319"/>
        <v>598.42967473316969</v>
      </c>
      <c r="M735" s="306">
        <f t="shared" ca="1" si="335"/>
        <v>-1.5098333969130726</v>
      </c>
      <c r="N735" s="304">
        <f t="shared" ca="1" si="336"/>
        <v>-86.507081411019513</v>
      </c>
      <c r="P735" s="310">
        <f t="shared" ca="1" si="337"/>
        <v>23</v>
      </c>
      <c r="Q735" s="304">
        <f t="shared" ca="1" si="338"/>
        <v>0</v>
      </c>
      <c r="R735" s="306">
        <f t="shared" ca="1" si="339"/>
        <v>0</v>
      </c>
      <c r="S735" s="307">
        <f t="shared" ca="1" si="340"/>
        <v>6.8519999999999914</v>
      </c>
      <c r="T735" s="304">
        <f t="shared" ca="1" si="320"/>
        <v>67.218119999999914</v>
      </c>
      <c r="U735" s="311">
        <f t="shared" ca="1" si="321"/>
        <v>0</v>
      </c>
      <c r="V735" s="306">
        <f t="shared" ca="1" si="322"/>
        <v>1.1897535102209662</v>
      </c>
      <c r="W735" s="304">
        <f t="shared" ca="1" si="323"/>
        <v>49.417033885735727</v>
      </c>
      <c r="Y735" s="314" t="str">
        <f t="shared" ca="1" si="341"/>
        <v/>
      </c>
      <c r="Z735" s="315" t="str">
        <f t="shared" ca="1" si="342"/>
        <v/>
      </c>
      <c r="AA735" s="316" t="str">
        <f t="shared" ca="1" si="343"/>
        <v/>
      </c>
      <c r="AC735" s="310" t="e">
        <f t="shared" ca="1" si="344"/>
        <v>#N/A</v>
      </c>
      <c r="AD735" s="323" t="e">
        <f t="shared" ca="1" si="345"/>
        <v>#N/A</v>
      </c>
      <c r="AE735" s="324" t="e">
        <f t="shared" ca="1" si="324"/>
        <v>#N/A</v>
      </c>
      <c r="AG735" s="306">
        <f t="shared" ca="1" si="346"/>
        <v>2.6179863163701178</v>
      </c>
      <c r="AH735" s="304">
        <f t="shared" ca="1" si="347"/>
        <v>-7.1735088977847425</v>
      </c>
    </row>
    <row r="736" spans="1:34" x14ac:dyDescent="0.2">
      <c r="A736" s="347">
        <f t="shared" ca="1" si="325"/>
        <v>0.1</v>
      </c>
      <c r="B736" s="304">
        <f t="shared" ca="1" si="326"/>
        <v>37.200000000000216</v>
      </c>
      <c r="D736" s="306">
        <f t="shared" ca="1" si="327"/>
        <v>-0.43939601138528112</v>
      </c>
      <c r="E736" s="307">
        <f t="shared" ca="1" si="328"/>
        <v>-2.6113377638248876</v>
      </c>
      <c r="F736" s="304">
        <f t="shared" ca="1" si="329"/>
        <v>2.6480471618910526</v>
      </c>
      <c r="G736" s="306">
        <f t="shared" ca="1" si="330"/>
        <v>7.787623840740153</v>
      </c>
      <c r="H736" s="307">
        <f t="shared" ca="1" si="331"/>
        <v>-128.56630391555368</v>
      </c>
      <c r="I736" s="304">
        <f t="shared" ca="1" si="332"/>
        <v>128.80194714208079</v>
      </c>
      <c r="J736" s="306">
        <f t="shared" ca="1" si="333"/>
        <v>523.17657030887131</v>
      </c>
      <c r="K736" s="307">
        <f t="shared" ca="1" si="334"/>
        <v>279.0826177685305</v>
      </c>
      <c r="L736" s="304">
        <f t="shared" ca="1" si="319"/>
        <v>592.95938415770866</v>
      </c>
      <c r="M736" s="306">
        <f t="shared" ca="1" si="335"/>
        <v>-1.510297424055457</v>
      </c>
      <c r="N736" s="304">
        <f t="shared" ca="1" si="336"/>
        <v>-86.533668207857659</v>
      </c>
      <c r="P736" s="310">
        <f t="shared" ca="1" si="337"/>
        <v>23</v>
      </c>
      <c r="Q736" s="304">
        <f t="shared" ca="1" si="338"/>
        <v>0</v>
      </c>
      <c r="R736" s="306">
        <f t="shared" ca="1" si="339"/>
        <v>0</v>
      </c>
      <c r="S736" s="307">
        <f t="shared" ca="1" si="340"/>
        <v>6.8519999999999914</v>
      </c>
      <c r="T736" s="304">
        <f t="shared" ca="1" si="320"/>
        <v>67.218119999999914</v>
      </c>
      <c r="U736" s="311">
        <f t="shared" ca="1" si="321"/>
        <v>0</v>
      </c>
      <c r="V736" s="306">
        <f t="shared" ca="1" si="322"/>
        <v>1.1912828725332085</v>
      </c>
      <c r="W736" s="304">
        <f t="shared" ca="1" si="323"/>
        <v>49.679369305381769</v>
      </c>
      <c r="Y736" s="314" t="str">
        <f t="shared" ca="1" si="341"/>
        <v/>
      </c>
      <c r="Z736" s="315" t="str">
        <f t="shared" ca="1" si="342"/>
        <v/>
      </c>
      <c r="AA736" s="316" t="str">
        <f t="shared" ca="1" si="343"/>
        <v/>
      </c>
      <c r="AC736" s="310" t="e">
        <f t="shared" ca="1" si="344"/>
        <v>#N/A</v>
      </c>
      <c r="AD736" s="323" t="e">
        <f t="shared" ca="1" si="345"/>
        <v>#N/A</v>
      </c>
      <c r="AE736" s="324" t="e">
        <f t="shared" ca="1" si="324"/>
        <v>#N/A</v>
      </c>
      <c r="AG736" s="306">
        <f t="shared" ca="1" si="346"/>
        <v>2.579716496564405</v>
      </c>
      <c r="AH736" s="304">
        <f t="shared" ca="1" si="347"/>
        <v>-7.2120598198680366</v>
      </c>
    </row>
    <row r="737" spans="1:34" x14ac:dyDescent="0.2">
      <c r="A737" s="347">
        <f t="shared" ca="1" si="325"/>
        <v>0.1</v>
      </c>
      <c r="B737" s="304">
        <f t="shared" ca="1" si="326"/>
        <v>37.300000000000217</v>
      </c>
      <c r="D737" s="306">
        <f t="shared" ca="1" si="327"/>
        <v>-0.43837043559068894</v>
      </c>
      <c r="E737" s="307">
        <f t="shared" ca="1" si="328"/>
        <v>-2.5729187281868615</v>
      </c>
      <c r="F737" s="304">
        <f t="shared" ca="1" si="329"/>
        <v>2.609996057593702</v>
      </c>
      <c r="G737" s="306">
        <f t="shared" ca="1" si="330"/>
        <v>7.7437867971810839</v>
      </c>
      <c r="H737" s="307">
        <f t="shared" ca="1" si="331"/>
        <v>-128.82359578837236</v>
      </c>
      <c r="I737" s="304">
        <f t="shared" ca="1" si="332"/>
        <v>129.05613145374437</v>
      </c>
      <c r="J737" s="306">
        <f t="shared" ca="1" si="333"/>
        <v>523.95314084076733</v>
      </c>
      <c r="K737" s="307">
        <f t="shared" ca="1" si="334"/>
        <v>266.2131227833342</v>
      </c>
      <c r="L737" s="304">
        <f t="shared" ca="1" si="319"/>
        <v>587.70427983719799</v>
      </c>
      <c r="M737" s="306">
        <f t="shared" ca="1" si="335"/>
        <v>-1.5107570165391644</v>
      </c>
      <c r="N737" s="304">
        <f t="shared" ca="1" si="336"/>
        <v>-86.56000091747002</v>
      </c>
      <c r="P737" s="310">
        <f t="shared" ca="1" si="337"/>
        <v>23</v>
      </c>
      <c r="Q737" s="304">
        <f t="shared" ca="1" si="338"/>
        <v>0</v>
      </c>
      <c r="R737" s="306">
        <f t="shared" ca="1" si="339"/>
        <v>0</v>
      </c>
      <c r="S737" s="307">
        <f t="shared" ca="1" si="340"/>
        <v>6.8519999999999914</v>
      </c>
      <c r="T737" s="304">
        <f t="shared" ca="1" si="320"/>
        <v>67.218119999999914</v>
      </c>
      <c r="U737" s="311">
        <f t="shared" ca="1" si="321"/>
        <v>0</v>
      </c>
      <c r="V737" s="306">
        <f t="shared" ca="1" si="322"/>
        <v>1.1928172657680216</v>
      </c>
      <c r="W737" s="304">
        <f t="shared" ca="1" si="323"/>
        <v>49.939883071133906</v>
      </c>
      <c r="Y737" s="314" t="str">
        <f t="shared" ca="1" si="341"/>
        <v/>
      </c>
      <c r="Z737" s="315" t="str">
        <f t="shared" ca="1" si="342"/>
        <v/>
      </c>
      <c r="AA737" s="316" t="str">
        <f t="shared" ca="1" si="343"/>
        <v/>
      </c>
      <c r="AC737" s="310" t="e">
        <f t="shared" ca="1" si="344"/>
        <v>#N/A</v>
      </c>
      <c r="AD737" s="323" t="e">
        <f t="shared" ca="1" si="345"/>
        <v>#N/A</v>
      </c>
      <c r="AE737" s="324" t="e">
        <f t="shared" ca="1" si="324"/>
        <v>#N/A</v>
      </c>
      <c r="AG737" s="306">
        <f t="shared" ca="1" si="346"/>
        <v>2.5417068170691746</v>
      </c>
      <c r="AH737" s="304">
        <f t="shared" ca="1" si="347"/>
        <v>-7.2503457830387958</v>
      </c>
    </row>
    <row r="738" spans="1:34" x14ac:dyDescent="0.2">
      <c r="A738" s="347">
        <f t="shared" ca="1" si="325"/>
        <v>0.1</v>
      </c>
      <c r="B738" s="304">
        <f t="shared" ca="1" si="326"/>
        <v>37.400000000000219</v>
      </c>
      <c r="D738" s="306">
        <f t="shared" ca="1" si="327"/>
        <v>-0.43732561102034628</v>
      </c>
      <c r="E738" s="307">
        <f t="shared" ca="1" si="328"/>
        <v>-2.5347664201581184</v>
      </c>
      <c r="F738" s="304">
        <f t="shared" ca="1" si="329"/>
        <v>2.5722158725144983</v>
      </c>
      <c r="G738" s="306">
        <f t="shared" ca="1" si="330"/>
        <v>7.7000542360790494</v>
      </c>
      <c r="H738" s="307">
        <f t="shared" ca="1" si="331"/>
        <v>-129.07707243038817</v>
      </c>
      <c r="I738" s="304">
        <f t="shared" ca="1" si="332"/>
        <v>129.30654067926432</v>
      </c>
      <c r="J738" s="306">
        <f t="shared" ca="1" si="333"/>
        <v>524.72533289243029</v>
      </c>
      <c r="K738" s="307">
        <f t="shared" ca="1" si="334"/>
        <v>253.31808937239617</v>
      </c>
      <c r="L738" s="304">
        <f t="shared" ca="1" si="319"/>
        <v>582.67205989506056</v>
      </c>
      <c r="M738" s="306">
        <f t="shared" ca="1" si="335"/>
        <v>-1.5112122385720355</v>
      </c>
      <c r="N738" s="304">
        <f t="shared" ca="1" si="336"/>
        <v>-86.58608321869491</v>
      </c>
      <c r="P738" s="310">
        <f t="shared" ca="1" si="337"/>
        <v>23</v>
      </c>
      <c r="Q738" s="304">
        <f t="shared" ca="1" si="338"/>
        <v>0</v>
      </c>
      <c r="R738" s="306">
        <f t="shared" ca="1" si="339"/>
        <v>0</v>
      </c>
      <c r="S738" s="307">
        <f t="shared" ca="1" si="340"/>
        <v>6.8519999999999914</v>
      </c>
      <c r="T738" s="304">
        <f t="shared" ca="1" si="320"/>
        <v>67.218119999999914</v>
      </c>
      <c r="U738" s="311">
        <f t="shared" ca="1" si="321"/>
        <v>0</v>
      </c>
      <c r="V738" s="306">
        <f t="shared" ca="1" si="322"/>
        <v>1.1943566596730621</v>
      </c>
      <c r="W738" s="304">
        <f t="shared" ca="1" si="323"/>
        <v>50.198569459809079</v>
      </c>
      <c r="Y738" s="314" t="str">
        <f t="shared" ca="1" si="341"/>
        <v/>
      </c>
      <c r="Z738" s="315" t="str">
        <f t="shared" ca="1" si="342"/>
        <v/>
      </c>
      <c r="AA738" s="316" t="str">
        <f t="shared" ca="1" si="343"/>
        <v/>
      </c>
      <c r="AC738" s="310" t="e">
        <f t="shared" ca="1" si="344"/>
        <v>#N/A</v>
      </c>
      <c r="AD738" s="323" t="e">
        <f t="shared" ca="1" si="345"/>
        <v>#N/A</v>
      </c>
      <c r="AE738" s="324" t="e">
        <f t="shared" ca="1" si="324"/>
        <v>#N/A</v>
      </c>
      <c r="AG738" s="306">
        <f t="shared" ca="1" si="346"/>
        <v>2.5039582761050188</v>
      </c>
      <c r="AH738" s="304">
        <f t="shared" ca="1" si="347"/>
        <v>-7.2883658889570881</v>
      </c>
    </row>
    <row r="739" spans="1:34" x14ac:dyDescent="0.2">
      <c r="A739" s="347">
        <f t="shared" ca="1" si="325"/>
        <v>0.1</v>
      </c>
      <c r="B739" s="304">
        <f t="shared" ca="1" si="326"/>
        <v>37.50000000000022</v>
      </c>
      <c r="D739" s="306">
        <f t="shared" ca="1" si="327"/>
        <v>-0.43626189109896202</v>
      </c>
      <c r="E739" s="307">
        <f t="shared" ca="1" si="328"/>
        <v>-2.4968816777746108</v>
      </c>
      <c r="F739" s="304">
        <f t="shared" ca="1" si="329"/>
        <v>2.5347075867704736</v>
      </c>
      <c r="G739" s="306">
        <f t="shared" ca="1" si="330"/>
        <v>7.656428046969153</v>
      </c>
      <c r="H739" s="307">
        <f t="shared" ca="1" si="331"/>
        <v>-129.32676059816563</v>
      </c>
      <c r="I739" s="304">
        <f t="shared" ca="1" si="332"/>
        <v>129.55320103051744</v>
      </c>
      <c r="J739" s="306">
        <f t="shared" ca="1" si="333"/>
        <v>525.49315700658269</v>
      </c>
      <c r="K739" s="307">
        <f t="shared" ca="1" si="334"/>
        <v>240.39789772096847</v>
      </c>
      <c r="L739" s="304">
        <f t="shared" ca="1" si="319"/>
        <v>577.87040700264811</v>
      </c>
      <c r="M739" s="306">
        <f t="shared" ca="1" si="335"/>
        <v>-1.5116631530344997</v>
      </c>
      <c r="N739" s="304">
        <f t="shared" ca="1" si="336"/>
        <v>-86.611918714315522</v>
      </c>
      <c r="P739" s="310">
        <f t="shared" ca="1" si="337"/>
        <v>23</v>
      </c>
      <c r="Q739" s="304">
        <f t="shared" ca="1" si="338"/>
        <v>0</v>
      </c>
      <c r="R739" s="306">
        <f t="shared" ca="1" si="339"/>
        <v>0</v>
      </c>
      <c r="S739" s="307">
        <f t="shared" ca="1" si="340"/>
        <v>6.8519999999999914</v>
      </c>
      <c r="T739" s="304">
        <f t="shared" ca="1" si="320"/>
        <v>67.218119999999914</v>
      </c>
      <c r="U739" s="311">
        <f t="shared" ca="1" si="321"/>
        <v>0</v>
      </c>
      <c r="V739" s="306">
        <f t="shared" ca="1" si="322"/>
        <v>1.1959010241600689</v>
      </c>
      <c r="W739" s="304">
        <f t="shared" ca="1" si="323"/>
        <v>50.455423174318568</v>
      </c>
      <c r="Y739" s="314" t="str">
        <f t="shared" ca="1" si="341"/>
        <v/>
      </c>
      <c r="Z739" s="315" t="str">
        <f t="shared" ca="1" si="342"/>
        <v/>
      </c>
      <c r="AA739" s="316" t="str">
        <f t="shared" ca="1" si="343"/>
        <v/>
      </c>
      <c r="AC739" s="310" t="e">
        <f t="shared" ca="1" si="344"/>
        <v>#N/A</v>
      </c>
      <c r="AD739" s="323" t="e">
        <f t="shared" ca="1" si="345"/>
        <v>#N/A</v>
      </c>
      <c r="AE739" s="324" t="e">
        <f t="shared" ca="1" si="324"/>
        <v>#N/A</v>
      </c>
      <c r="AG739" s="306">
        <f t="shared" ca="1" si="346"/>
        <v>2.4664718062538826</v>
      </c>
      <c r="AH739" s="304">
        <f t="shared" ca="1" si="347"/>
        <v>-7.3261193023656075</v>
      </c>
    </row>
    <row r="740" spans="1:34" x14ac:dyDescent="0.2">
      <c r="A740" s="347">
        <f t="shared" ca="1" si="325"/>
        <v>0.1</v>
      </c>
      <c r="B740" s="304">
        <f t="shared" ca="1" si="326"/>
        <v>37.600000000000222</v>
      </c>
      <c r="D740" s="306">
        <f t="shared" ca="1" si="327"/>
        <v>-0.43517962748834083</v>
      </c>
      <c r="E740" s="307">
        <f t="shared" ca="1" si="328"/>
        <v>-2.4592652766896261</v>
      </c>
      <c r="F740" s="304">
        <f t="shared" ca="1" si="329"/>
        <v>2.4974721238308537</v>
      </c>
      <c r="G740" s="306">
        <f t="shared" ca="1" si="330"/>
        <v>7.612910084220319</v>
      </c>
      <c r="H740" s="307">
        <f t="shared" ca="1" si="331"/>
        <v>-129.57268712583459</v>
      </c>
      <c r="I740" s="304">
        <f t="shared" ca="1" si="332"/>
        <v>129.79613880605172</v>
      </c>
      <c r="J740" s="306">
        <f t="shared" ca="1" si="333"/>
        <v>526.25662391314222</v>
      </c>
      <c r="K740" s="307">
        <f t="shared" ca="1" si="334"/>
        <v>227.45292533476845</v>
      </c>
      <c r="L740" s="304">
        <f t="shared" ca="1" si="319"/>
        <v>573.30695744583647</v>
      </c>
      <c r="M740" s="306">
        <f t="shared" ca="1" si="335"/>
        <v>-1.5121098215137416</v>
      </c>
      <c r="N740" s="304">
        <f t="shared" ca="1" si="336"/>
        <v>-86.637510933017609</v>
      </c>
      <c r="P740" s="310">
        <f t="shared" ca="1" si="337"/>
        <v>23</v>
      </c>
      <c r="Q740" s="304">
        <f t="shared" ca="1" si="338"/>
        <v>0</v>
      </c>
      <c r="R740" s="306">
        <f t="shared" ca="1" si="339"/>
        <v>0</v>
      </c>
      <c r="S740" s="307">
        <f t="shared" ca="1" si="340"/>
        <v>6.8519999999999914</v>
      </c>
      <c r="T740" s="304">
        <f t="shared" ca="1" si="320"/>
        <v>67.218119999999914</v>
      </c>
      <c r="U740" s="311">
        <f t="shared" ca="1" si="321"/>
        <v>0</v>
      </c>
      <c r="V740" s="306">
        <f t="shared" ca="1" si="322"/>
        <v>1.1974503293060583</v>
      </c>
      <c r="W740" s="304">
        <f t="shared" ca="1" si="323"/>
        <v>50.710439337489838</v>
      </c>
      <c r="Y740" s="314" t="str">
        <f t="shared" ca="1" si="341"/>
        <v/>
      </c>
      <c r="Z740" s="315" t="str">
        <f t="shared" ca="1" si="342"/>
        <v/>
      </c>
      <c r="AA740" s="316" t="str">
        <f t="shared" ca="1" si="343"/>
        <v/>
      </c>
      <c r="AC740" s="310" t="e">
        <f t="shared" ca="1" si="344"/>
        <v>#N/A</v>
      </c>
      <c r="AD740" s="323" t="e">
        <f t="shared" ca="1" si="345"/>
        <v>#N/A</v>
      </c>
      <c r="AE740" s="324" t="e">
        <f t="shared" ca="1" si="324"/>
        <v>#N/A</v>
      </c>
      <c r="AG740" s="306">
        <f t="shared" ca="1" si="346"/>
        <v>2.4292482754348521</v>
      </c>
      <c r="AH740" s="304">
        <f t="shared" ca="1" si="347"/>
        <v>-7.3636052501924452</v>
      </c>
    </row>
    <row r="741" spans="1:34" x14ac:dyDescent="0.2">
      <c r="A741" s="347">
        <f t="shared" ca="1" si="325"/>
        <v>0.1</v>
      </c>
      <c r="B741" s="304">
        <f t="shared" ca="1" si="326"/>
        <v>37.700000000000223</v>
      </c>
      <c r="D741" s="306">
        <f t="shared" ca="1" si="327"/>
        <v>-0.43407917002539481</v>
      </c>
      <c r="E741" s="307">
        <f t="shared" ca="1" si="328"/>
        <v>-2.4219179310781449</v>
      </c>
      <c r="F741" s="304">
        <f t="shared" ca="1" si="329"/>
        <v>2.4605103516806786</v>
      </c>
      <c r="G741" s="306">
        <f t="shared" ca="1" si="330"/>
        <v>7.5695021672177791</v>
      </c>
      <c r="H741" s="307">
        <f t="shared" ca="1" si="331"/>
        <v>-129.81487891894241</v>
      </c>
      <c r="I741" s="304">
        <f t="shared" ca="1" si="332"/>
        <v>130.03538038472144</v>
      </c>
      <c r="J741" s="306">
        <f t="shared" ca="1" si="333"/>
        <v>527.01574452571413</v>
      </c>
      <c r="K741" s="307">
        <f t="shared" ca="1" si="334"/>
        <v>214.4835470325296</v>
      </c>
      <c r="L741" s="304">
        <f t="shared" ca="1" si="319"/>
        <v>568.98926784751234</v>
      </c>
      <c r="M741" s="306">
        <f t="shared" ca="1" si="335"/>
        <v>-1.5125523043368272</v>
      </c>
      <c r="N741" s="304">
        <f t="shared" ca="1" si="336"/>
        <v>-86.66286333128744</v>
      </c>
      <c r="P741" s="310">
        <f t="shared" ca="1" si="337"/>
        <v>23</v>
      </c>
      <c r="Q741" s="304">
        <f t="shared" ca="1" si="338"/>
        <v>0</v>
      </c>
      <c r="R741" s="306">
        <f t="shared" ca="1" si="339"/>
        <v>0</v>
      </c>
      <c r="S741" s="307">
        <f t="shared" ca="1" si="340"/>
        <v>6.8519999999999914</v>
      </c>
      <c r="T741" s="304">
        <f t="shared" ca="1" si="320"/>
        <v>67.218119999999914</v>
      </c>
      <c r="U741" s="311">
        <f t="shared" ca="1" si="321"/>
        <v>0</v>
      </c>
      <c r="V741" s="306">
        <f t="shared" ca="1" si="322"/>
        <v>1.1990045453544698</v>
      </c>
      <c r="W741" s="304">
        <f t="shared" ca="1" si="323"/>
        <v>50.963613485861337</v>
      </c>
      <c r="Y741" s="314" t="str">
        <f t="shared" ca="1" si="341"/>
        <v/>
      </c>
      <c r="Z741" s="315" t="str">
        <f t="shared" ca="1" si="342"/>
        <v/>
      </c>
      <c r="AA741" s="316" t="str">
        <f t="shared" ca="1" si="343"/>
        <v/>
      </c>
      <c r="AC741" s="310" t="e">
        <f t="shared" ca="1" si="344"/>
        <v>#N/A</v>
      </c>
      <c r="AD741" s="323" t="e">
        <f t="shared" ca="1" si="345"/>
        <v>#N/A</v>
      </c>
      <c r="AE741" s="324" t="e">
        <f t="shared" ca="1" si="324"/>
        <v>#N/A</v>
      </c>
      <c r="AG741" s="306">
        <f t="shared" ca="1" si="346"/>
        <v>2.3922884878816078</v>
      </c>
      <c r="AH741" s="304">
        <f t="shared" ca="1" si="347"/>
        <v>-7.4008230206494314</v>
      </c>
    </row>
    <row r="742" spans="1:34" x14ac:dyDescent="0.2">
      <c r="A742" s="347">
        <f t="shared" ca="1" si="325"/>
        <v>0.1</v>
      </c>
      <c r="B742" s="304">
        <f t="shared" ca="1" si="326"/>
        <v>37.800000000000225</v>
      </c>
      <c r="D742" s="306">
        <f t="shared" ca="1" si="327"/>
        <v>-0.43296086666208067</v>
      </c>
      <c r="E742" s="307">
        <f t="shared" ca="1" si="328"/>
        <v>-2.3848402945451808</v>
      </c>
      <c r="F742" s="304">
        <f t="shared" ca="1" si="329"/>
        <v>2.4238230840032706</v>
      </c>
      <c r="G742" s="306">
        <f t="shared" ca="1" si="330"/>
        <v>7.5262060805515709</v>
      </c>
      <c r="H742" s="307">
        <f t="shared" ca="1" si="331"/>
        <v>-130.05336294839694</v>
      </c>
      <c r="I742" s="304">
        <f t="shared" ca="1" si="332"/>
        <v>130.27095221941997</v>
      </c>
      <c r="J742" s="306">
        <f t="shared" ca="1" si="333"/>
        <v>527.77052993810264</v>
      </c>
      <c r="K742" s="307">
        <f t="shared" ca="1" si="334"/>
        <v>201.49013493916263</v>
      </c>
      <c r="L742" s="304">
        <f t="shared" ca="1" si="319"/>
        <v>564.92477972642314</v>
      </c>
      <c r="M742" s="306">
        <f t="shared" ca="1" si="335"/>
        <v>-1.5129906606028305</v>
      </c>
      <c r="N742" s="304">
        <f t="shared" ca="1" si="336"/>
        <v>-86.687979295252546</v>
      </c>
      <c r="P742" s="310">
        <f t="shared" ca="1" si="337"/>
        <v>23</v>
      </c>
      <c r="Q742" s="304">
        <f t="shared" ca="1" si="338"/>
        <v>0</v>
      </c>
      <c r="R742" s="306">
        <f t="shared" ca="1" si="339"/>
        <v>0</v>
      </c>
      <c r="S742" s="307">
        <f t="shared" ca="1" si="340"/>
        <v>6.8519999999999914</v>
      </c>
      <c r="T742" s="304">
        <f t="shared" ca="1" si="320"/>
        <v>67.218119999999914</v>
      </c>
      <c r="U742" s="311">
        <f t="shared" ca="1" si="321"/>
        <v>0</v>
      </c>
      <c r="V742" s="306">
        <f t="shared" ca="1" si="322"/>
        <v>1.2005636427162787</v>
      </c>
      <c r="W742" s="304">
        <f t="shared" ca="1" si="323"/>
        <v>51.214941563454396</v>
      </c>
      <c r="Y742" s="314" t="str">
        <f t="shared" ca="1" si="341"/>
        <v/>
      </c>
      <c r="Z742" s="315" t="str">
        <f t="shared" ca="1" si="342"/>
        <v/>
      </c>
      <c r="AA742" s="316" t="str">
        <f t="shared" ca="1" si="343"/>
        <v/>
      </c>
      <c r="AC742" s="310" t="e">
        <f t="shared" ca="1" si="344"/>
        <v>#N/A</v>
      </c>
      <c r="AD742" s="323" t="e">
        <f t="shared" ca="1" si="345"/>
        <v>#N/A</v>
      </c>
      <c r="AE742" s="324" t="e">
        <f t="shared" ca="1" si="324"/>
        <v>#N/A</v>
      </c>
      <c r="AG742" s="306">
        <f t="shared" ca="1" si="346"/>
        <v>2.3555931851210907</v>
      </c>
      <c r="AH742" s="304">
        <f t="shared" ca="1" si="347"/>
        <v>-7.4377719623265328</v>
      </c>
    </row>
    <row r="743" spans="1:34" x14ac:dyDescent="0.2">
      <c r="A743" s="347">
        <f t="shared" ca="1" si="325"/>
        <v>0.1</v>
      </c>
      <c r="B743" s="304">
        <f t="shared" ca="1" si="326"/>
        <v>37.900000000000226</v>
      </c>
      <c r="D743" s="306">
        <f t="shared" ca="1" si="327"/>
        <v>-0.43182506340723115</v>
      </c>
      <c r="E743" s="307">
        <f t="shared" ca="1" si="328"/>
        <v>-2.348032961037462</v>
      </c>
      <c r="F743" s="304">
        <f t="shared" ca="1" si="329"/>
        <v>2.3874110813818827</v>
      </c>
      <c r="G743" s="306">
        <f t="shared" ca="1" si="330"/>
        <v>7.483023574210848</v>
      </c>
      <c r="H743" s="307">
        <f t="shared" ca="1" si="331"/>
        <v>-130.28816624450067</v>
      </c>
      <c r="I743" s="304">
        <f t="shared" ca="1" si="332"/>
        <v>130.50288083091056</v>
      </c>
      <c r="J743" s="306">
        <f t="shared" ca="1" si="333"/>
        <v>528.5209914208408</v>
      </c>
      <c r="K743" s="307">
        <f t="shared" ca="1" si="334"/>
        <v>188.47305847951776</v>
      </c>
      <c r="L743" s="304">
        <f t="shared" ca="1" si="319"/>
        <v>561.12078213615666</v>
      </c>
      <c r="M743" s="306">
        <f t="shared" ca="1" si="335"/>
        <v>-1.5134249482139919</v>
      </c>
      <c r="N743" s="304">
        <f t="shared" ca="1" si="336"/>
        <v>-86.712862142466918</v>
      </c>
      <c r="P743" s="310">
        <f t="shared" ca="1" si="337"/>
        <v>23</v>
      </c>
      <c r="Q743" s="304">
        <f t="shared" ca="1" si="338"/>
        <v>0</v>
      </c>
      <c r="R743" s="306">
        <f t="shared" ca="1" si="339"/>
        <v>0</v>
      </c>
      <c r="S743" s="307">
        <f t="shared" ca="1" si="340"/>
        <v>6.8519999999999914</v>
      </c>
      <c r="T743" s="304">
        <f t="shared" ca="1" si="320"/>
        <v>67.218119999999914</v>
      </c>
      <c r="U743" s="311">
        <f t="shared" ca="1" si="321"/>
        <v>0</v>
      </c>
      <c r="V743" s="306">
        <f t="shared" ca="1" si="322"/>
        <v>1.2021275919710595</v>
      </c>
      <c r="W743" s="304">
        <f t="shared" ca="1" si="323"/>
        <v>51.464419915524857</v>
      </c>
      <c r="Y743" s="314" t="str">
        <f t="shared" ca="1" si="341"/>
        <v/>
      </c>
      <c r="Z743" s="315" t="str">
        <f t="shared" ca="1" si="342"/>
        <v/>
      </c>
      <c r="AA743" s="316" t="str">
        <f t="shared" ca="1" si="343"/>
        <v/>
      </c>
      <c r="AC743" s="310" t="e">
        <f t="shared" ca="1" si="344"/>
        <v>#N/A</v>
      </c>
      <c r="AD743" s="323" t="e">
        <f t="shared" ca="1" si="345"/>
        <v>#N/A</v>
      </c>
      <c r="AE743" s="324" t="e">
        <f t="shared" ca="1" si="324"/>
        <v>#N/A</v>
      </c>
      <c r="AG743" s="306">
        <f t="shared" ca="1" si="346"/>
        <v>2.3191630469529647</v>
      </c>
      <c r="AH743" s="304">
        <f t="shared" ca="1" si="347"/>
        <v>-7.4744514832829045</v>
      </c>
    </row>
    <row r="744" spans="1:34" x14ac:dyDescent="0.2">
      <c r="A744" s="347">
        <f t="shared" ca="1" si="325"/>
        <v>0.1</v>
      </c>
      <c r="B744" s="304">
        <f t="shared" ca="1" si="326"/>
        <v>38.000000000000227</v>
      </c>
      <c r="D744" s="306">
        <f t="shared" ca="1" si="327"/>
        <v>-0.43067210427028169</v>
      </c>
      <c r="E744" s="307">
        <f t="shared" ca="1" si="328"/>
        <v>-2.3114964657581032</v>
      </c>
      <c r="F744" s="304">
        <f t="shared" ca="1" si="329"/>
        <v>2.3512750525212476</v>
      </c>
      <c r="G744" s="306">
        <f t="shared" ca="1" si="330"/>
        <v>7.4399563637838195</v>
      </c>
      <c r="H744" s="307">
        <f t="shared" ca="1" si="331"/>
        <v>-130.51931589107647</v>
      </c>
      <c r="I744" s="304">
        <f t="shared" ca="1" si="332"/>
        <v>130.7311928017549</v>
      </c>
      <c r="J744" s="306">
        <f t="shared" ca="1" si="333"/>
        <v>529.26714041774051</v>
      </c>
      <c r="K744" s="307">
        <f t="shared" ca="1" si="334"/>
        <v>175.43268437273889</v>
      </c>
      <c r="L744" s="304">
        <f t="shared" ca="1" si="319"/>
        <v>557.58437269367334</v>
      </c>
      <c r="M744" s="306">
        <f t="shared" ca="1" si="335"/>
        <v>-1.5138552239059448</v>
      </c>
      <c r="N744" s="304">
        <f t="shared" ca="1" si="336"/>
        <v>-86.737515123642893</v>
      </c>
      <c r="P744" s="310">
        <f t="shared" ca="1" si="337"/>
        <v>23</v>
      </c>
      <c r="Q744" s="304">
        <f t="shared" ca="1" si="338"/>
        <v>0</v>
      </c>
      <c r="R744" s="306">
        <f t="shared" ca="1" si="339"/>
        <v>0</v>
      </c>
      <c r="S744" s="307">
        <f t="shared" ca="1" si="340"/>
        <v>6.8519999999999914</v>
      </c>
      <c r="T744" s="304">
        <f t="shared" ca="1" si="320"/>
        <v>67.218119999999914</v>
      </c>
      <c r="U744" s="311">
        <f t="shared" ca="1" si="321"/>
        <v>0</v>
      </c>
      <c r="V744" s="306">
        <f t="shared" ca="1" si="322"/>
        <v>1.2036963638680163</v>
      </c>
      <c r="W744" s="304">
        <f t="shared" ca="1" si="323"/>
        <v>51.712045282298725</v>
      </c>
      <c r="Y744" s="314" t="str">
        <f t="shared" ca="1" si="341"/>
        <v/>
      </c>
      <c r="Z744" s="315" t="str">
        <f t="shared" ca="1" si="342"/>
        <v/>
      </c>
      <c r="AA744" s="316" t="str">
        <f t="shared" ca="1" si="343"/>
        <v/>
      </c>
      <c r="AC744" s="310">
        <f t="shared" ca="1" si="344"/>
        <v>38.000000000000227</v>
      </c>
      <c r="AD744" s="323">
        <f t="shared" ca="1" si="345"/>
        <v>529.26714041774051</v>
      </c>
      <c r="AE744" s="324" t="e">
        <f t="shared" ca="1" si="324"/>
        <v>#N/A</v>
      </c>
      <c r="AG744" s="306">
        <f t="shared" ca="1" si="346"/>
        <v>2.2829986924295484</v>
      </c>
      <c r="AH744" s="304">
        <f t="shared" ca="1" si="347"/>
        <v>-7.5108610501349853</v>
      </c>
    </row>
    <row r="745" spans="1:34" x14ac:dyDescent="0.2">
      <c r="A745" s="347">
        <f t="shared" ca="1" si="325"/>
        <v>0.1</v>
      </c>
      <c r="B745" s="304">
        <f t="shared" ca="1" si="326"/>
        <v>38.100000000000229</v>
      </c>
      <c r="D745" s="306">
        <f t="shared" ca="1" si="327"/>
        <v>-0.42950233120685694</v>
      </c>
      <c r="E745" s="307">
        <f t="shared" ca="1" si="328"/>
        <v>-2.2752312860836117</v>
      </c>
      <c r="F745" s="304">
        <f t="shared" ca="1" si="329"/>
        <v>2.3154156554894869</v>
      </c>
      <c r="G745" s="306">
        <f t="shared" ca="1" si="330"/>
        <v>7.3970061306631338</v>
      </c>
      <c r="H745" s="307">
        <f t="shared" ca="1" si="331"/>
        <v>-130.74683901968484</v>
      </c>
      <c r="I745" s="304">
        <f t="shared" ca="1" si="332"/>
        <v>130.9559147703396</v>
      </c>
      <c r="J745" s="306">
        <f t="shared" ca="1" si="333"/>
        <v>530.00898854246282</v>
      </c>
      <c r="K745" s="307">
        <f t="shared" ca="1" si="334"/>
        <v>162.36937662720084</v>
      </c>
      <c r="L745" s="304">
        <f t="shared" ca="1" si="319"/>
        <v>554.32241737287723</v>
      </c>
      <c r="M745" s="306">
        <f t="shared" ca="1" si="335"/>
        <v>-1.5142815432770418</v>
      </c>
      <c r="N745" s="304">
        <f t="shared" ca="1" si="336"/>
        <v>-86.761941424331411</v>
      </c>
      <c r="P745" s="310">
        <f t="shared" ca="1" si="337"/>
        <v>23</v>
      </c>
      <c r="Q745" s="304">
        <f t="shared" ca="1" si="338"/>
        <v>0</v>
      </c>
      <c r="R745" s="306">
        <f t="shared" ca="1" si="339"/>
        <v>0</v>
      </c>
      <c r="S745" s="307">
        <f t="shared" ca="1" si="340"/>
        <v>6.8519999999999914</v>
      </c>
      <c r="T745" s="304">
        <f t="shared" ca="1" si="320"/>
        <v>67.218119999999914</v>
      </c>
      <c r="U745" s="311">
        <f t="shared" ca="1" si="321"/>
        <v>0</v>
      </c>
      <c r="V745" s="306">
        <f t="shared" ca="1" si="322"/>
        <v>1.2052699293269675</v>
      </c>
      <c r="W745" s="304">
        <f t="shared" ca="1" si="323"/>
        <v>51.957814792694222</v>
      </c>
      <c r="Y745" s="314" t="str">
        <f t="shared" ca="1" si="341"/>
        <v/>
      </c>
      <c r="Z745" s="315" t="str">
        <f t="shared" ca="1" si="342"/>
        <v/>
      </c>
      <c r="AA745" s="316" t="str">
        <f t="shared" ca="1" si="343"/>
        <v/>
      </c>
      <c r="AC745" s="310" t="e">
        <f t="shared" ca="1" si="344"/>
        <v>#N/A</v>
      </c>
      <c r="AD745" s="323" t="e">
        <f t="shared" ca="1" si="345"/>
        <v>#N/A</v>
      </c>
      <c r="AE745" s="324" t="e">
        <f t="shared" ca="1" si="324"/>
        <v>#N/A</v>
      </c>
      <c r="AG745" s="306">
        <f t="shared" ca="1" si="346"/>
        <v>2.2471006808356844</v>
      </c>
      <c r="AH745" s="304">
        <f t="shared" ca="1" si="347"/>
        <v>-7.5470001871422632</v>
      </c>
    </row>
    <row r="746" spans="1:34" x14ac:dyDescent="0.2">
      <c r="A746" s="347">
        <f t="shared" ca="1" si="325"/>
        <v>0.1</v>
      </c>
      <c r="B746" s="304">
        <f t="shared" ca="1" si="326"/>
        <v>38.20000000000023</v>
      </c>
      <c r="D746" s="306">
        <f t="shared" ca="1" si="327"/>
        <v>-0.42831608406620958</v>
      </c>
      <c r="E746" s="307">
        <f t="shared" ca="1" si="328"/>
        <v>-2.2392378424828969</v>
      </c>
      <c r="F746" s="304">
        <f t="shared" ca="1" si="329"/>
        <v>2.2798334989812901</v>
      </c>
      <c r="G746" s="306">
        <f t="shared" ca="1" si="330"/>
        <v>7.3541745222565131</v>
      </c>
      <c r="H746" s="307">
        <f t="shared" ca="1" si="331"/>
        <v>-130.97076280393313</v>
      </c>
      <c r="I746" s="304">
        <f t="shared" ca="1" si="332"/>
        <v>131.17707342500032</v>
      </c>
      <c r="J746" s="306">
        <f t="shared" ca="1" si="333"/>
        <v>530.74654757510882</v>
      </c>
      <c r="K746" s="307">
        <f t="shared" ca="1" si="334"/>
        <v>149.28349653601992</v>
      </c>
      <c r="L746" s="304">
        <f t="shared" ca="1" si="319"/>
        <v>551.34150950288256</v>
      </c>
      <c r="M746" s="306">
        <f t="shared" ca="1" si="335"/>
        <v>-1.5147039608168091</v>
      </c>
      <c r="N746" s="304">
        <f t="shared" ca="1" si="336"/>
        <v>-86.786144166552376</v>
      </c>
      <c r="P746" s="310">
        <f t="shared" ca="1" si="337"/>
        <v>23</v>
      </c>
      <c r="Q746" s="304">
        <f t="shared" ca="1" si="338"/>
        <v>0</v>
      </c>
      <c r="R746" s="306">
        <f t="shared" ca="1" si="339"/>
        <v>0</v>
      </c>
      <c r="S746" s="307">
        <f t="shared" ca="1" si="340"/>
        <v>6.8519999999999914</v>
      </c>
      <c r="T746" s="304">
        <f t="shared" ca="1" si="320"/>
        <v>67.218119999999914</v>
      </c>
      <c r="U746" s="311">
        <f t="shared" ca="1" si="321"/>
        <v>0</v>
      </c>
      <c r="V746" s="306">
        <f t="shared" ca="1" si="322"/>
        <v>1.2068482594392935</v>
      </c>
      <c r="W746" s="304">
        <f t="shared" ca="1" si="323"/>
        <v>52.201725958033862</v>
      </c>
      <c r="Y746" s="314" t="str">
        <f t="shared" ca="1" si="341"/>
        <v/>
      </c>
      <c r="Z746" s="315" t="str">
        <f t="shared" ca="1" si="342"/>
        <v/>
      </c>
      <c r="AA746" s="316" t="str">
        <f t="shared" ca="1" si="343"/>
        <v/>
      </c>
      <c r="AC746" s="310" t="e">
        <f t="shared" ca="1" si="344"/>
        <v>#N/A</v>
      </c>
      <c r="AD746" s="323" t="e">
        <f t="shared" ca="1" si="345"/>
        <v>#N/A</v>
      </c>
      <c r="AE746" s="324" t="e">
        <f t="shared" ca="1" si="324"/>
        <v>#N/A</v>
      </c>
      <c r="AG746" s="306">
        <f t="shared" ca="1" si="346"/>
        <v>2.2114695126683284</v>
      </c>
      <c r="AH746" s="304">
        <f t="shared" ca="1" si="347"/>
        <v>-7.5828684752910522</v>
      </c>
    </row>
    <row r="747" spans="1:34" x14ac:dyDescent="0.2">
      <c r="A747" s="347">
        <f t="shared" ca="1" si="325"/>
        <v>0.1</v>
      </c>
      <c r="B747" s="304">
        <f t="shared" ca="1" si="326"/>
        <v>38.300000000000232</v>
      </c>
      <c r="D747" s="306">
        <f t="shared" ca="1" si="327"/>
        <v>-0.42711370054049624</v>
      </c>
      <c r="E747" s="307">
        <f t="shared" ca="1" si="328"/>
        <v>-2.2035164994377441</v>
      </c>
      <c r="F747" s="304">
        <f t="shared" ca="1" si="329"/>
        <v>2.2445291436031223</v>
      </c>
      <c r="G747" s="306">
        <f t="shared" ca="1" si="330"/>
        <v>7.3114631522024638</v>
      </c>
      <c r="H747" s="307">
        <f t="shared" ca="1" si="331"/>
        <v>-131.19111445387691</v>
      </c>
      <c r="I747" s="304">
        <f t="shared" ca="1" si="332"/>
        <v>131.39469549824392</v>
      </c>
      <c r="J747" s="306">
        <f t="shared" ca="1" si="333"/>
        <v>531.47982945883177</v>
      </c>
      <c r="K747" s="307">
        <f t="shared" ca="1" si="334"/>
        <v>136.17540267312941</v>
      </c>
      <c r="L747" s="304">
        <f t="shared" ca="1" si="319"/>
        <v>548.64792847032402</v>
      </c>
      <c r="M747" s="306">
        <f t="shared" ca="1" si="335"/>
        <v>-1.5151225299335644</v>
      </c>
      <c r="N747" s="304">
        <f t="shared" ca="1" si="336"/>
        <v>-86.810126410376981</v>
      </c>
      <c r="P747" s="310">
        <f t="shared" ca="1" si="337"/>
        <v>23</v>
      </c>
      <c r="Q747" s="304">
        <f t="shared" ca="1" si="338"/>
        <v>0</v>
      </c>
      <c r="R747" s="306">
        <f t="shared" ca="1" si="339"/>
        <v>0</v>
      </c>
      <c r="S747" s="307">
        <f t="shared" ca="1" si="340"/>
        <v>6.8519999999999914</v>
      </c>
      <c r="T747" s="304">
        <f t="shared" ca="1" si="320"/>
        <v>67.218119999999914</v>
      </c>
      <c r="U747" s="311">
        <f t="shared" ca="1" si="321"/>
        <v>0</v>
      </c>
      <c r="V747" s="306">
        <f t="shared" ca="1" si="322"/>
        <v>1.2084313254688439</v>
      </c>
      <c r="W747" s="304">
        <f t="shared" ca="1" si="323"/>
        <v>52.443776665749851</v>
      </c>
      <c r="Y747" s="314" t="str">
        <f t="shared" ca="1" si="341"/>
        <v/>
      </c>
      <c r="Z747" s="315" t="str">
        <f t="shared" ca="1" si="342"/>
        <v/>
      </c>
      <c r="AA747" s="316" t="str">
        <f t="shared" ca="1" si="343"/>
        <v/>
      </c>
      <c r="AC747" s="310" t="e">
        <f t="shared" ca="1" si="344"/>
        <v>#N/A</v>
      </c>
      <c r="AD747" s="323" t="e">
        <f t="shared" ca="1" si="345"/>
        <v>#N/A</v>
      </c>
      <c r="AE747" s="324" t="e">
        <f t="shared" ca="1" si="324"/>
        <v>#N/A</v>
      </c>
      <c r="AG747" s="306">
        <f t="shared" ca="1" si="346"/>
        <v>2.1761056306153952</v>
      </c>
      <c r="AH747" s="304">
        <f t="shared" ca="1" si="347"/>
        <v>-7.618465551376814</v>
      </c>
    </row>
    <row r="748" spans="1:34" x14ac:dyDescent="0.2">
      <c r="A748" s="347">
        <f t="shared" ca="1" si="325"/>
        <v>0.1</v>
      </c>
      <c r="B748" s="304">
        <f t="shared" ca="1" si="326"/>
        <v>38.400000000000233</v>
      </c>
      <c r="D748" s="306">
        <f t="shared" ca="1" si="327"/>
        <v>-0.42589551611585746</v>
      </c>
      <c r="E748" s="307">
        <f t="shared" ca="1" si="328"/>
        <v>-2.1680675663642743</v>
      </c>
      <c r="F748" s="304">
        <f t="shared" ca="1" si="329"/>
        <v>2.2095031031814143</v>
      </c>
      <c r="G748" s="306">
        <f t="shared" ca="1" si="330"/>
        <v>7.2688736005908776</v>
      </c>
      <c r="H748" s="307">
        <f t="shared" ca="1" si="331"/>
        <v>-131.40792121051334</v>
      </c>
      <c r="I748" s="304">
        <f t="shared" ca="1" si="332"/>
        <v>131.60880776106836</v>
      </c>
      <c r="J748" s="306">
        <f t="shared" ca="1" si="333"/>
        <v>532.20884629647139</v>
      </c>
      <c r="K748" s="307">
        <f t="shared" ca="1" si="334"/>
        <v>123.0454508899099</v>
      </c>
      <c r="L748" s="304">
        <f t="shared" ca="1" si="319"/>
        <v>546.24759867748833</v>
      </c>
      <c r="M748" s="306">
        <f t="shared" ca="1" si="335"/>
        <v>-1.5155373029812214</v>
      </c>
      <c r="N748" s="304">
        <f t="shared" ca="1" si="336"/>
        <v>-86.833891155463505</v>
      </c>
      <c r="P748" s="310">
        <f t="shared" ca="1" si="337"/>
        <v>23</v>
      </c>
      <c r="Q748" s="304">
        <f t="shared" ca="1" si="338"/>
        <v>0</v>
      </c>
      <c r="R748" s="306">
        <f t="shared" ca="1" si="339"/>
        <v>0</v>
      </c>
      <c r="S748" s="307">
        <f t="shared" ca="1" si="340"/>
        <v>6.8519999999999914</v>
      </c>
      <c r="T748" s="304">
        <f t="shared" ca="1" si="320"/>
        <v>67.218119999999914</v>
      </c>
      <c r="U748" s="311">
        <f t="shared" ca="1" si="321"/>
        <v>0</v>
      </c>
      <c r="V748" s="306">
        <f t="shared" ca="1" si="322"/>
        <v>1.2100190988528059</v>
      </c>
      <c r="W748" s="304">
        <f t="shared" ca="1" si="323"/>
        <v>52.683965173085646</v>
      </c>
      <c r="Y748" s="314" t="str">
        <f t="shared" ca="1" si="341"/>
        <v/>
      </c>
      <c r="Z748" s="315" t="str">
        <f t="shared" ca="1" si="342"/>
        <v/>
      </c>
      <c r="AA748" s="316" t="str">
        <f t="shared" ca="1" si="343"/>
        <v/>
      </c>
      <c r="AC748" s="310" t="e">
        <f t="shared" ca="1" si="344"/>
        <v>#N/A</v>
      </c>
      <c r="AD748" s="323" t="e">
        <f t="shared" ca="1" si="345"/>
        <v>#N/A</v>
      </c>
      <c r="AE748" s="324" t="e">
        <f t="shared" ca="1" si="324"/>
        <v>#N/A</v>
      </c>
      <c r="AG748" s="306">
        <f t="shared" ca="1" si="346"/>
        <v>2.1410094205334502</v>
      </c>
      <c r="AH748" s="304">
        <f t="shared" ca="1" si="347"/>
        <v>-7.6537911070855102</v>
      </c>
    </row>
    <row r="749" spans="1:34" x14ac:dyDescent="0.2">
      <c r="A749" s="347">
        <f t="shared" ca="1" si="325"/>
        <v>0.1</v>
      </c>
      <c r="B749" s="304">
        <f t="shared" ca="1" si="326"/>
        <v>38.500000000000234</v>
      </c>
      <c r="D749" s="306">
        <f t="shared" ca="1" si="327"/>
        <v>-0.42466186402529615</v>
      </c>
      <c r="E749" s="307">
        <f t="shared" ca="1" si="328"/>
        <v>-2.1328912985349611</v>
      </c>
      <c r="F749" s="304">
        <f t="shared" ca="1" si="329"/>
        <v>2.1747558460948189</v>
      </c>
      <c r="G749" s="306">
        <f t="shared" ca="1" si="330"/>
        <v>7.2264074141883476</v>
      </c>
      <c r="H749" s="307">
        <f t="shared" ca="1" si="331"/>
        <v>-131.62121034036684</v>
      </c>
      <c r="I749" s="304">
        <f t="shared" ca="1" si="332"/>
        <v>131.8194370173797</v>
      </c>
      <c r="J749" s="306">
        <f t="shared" ca="1" si="333"/>
        <v>532.93361034721033</v>
      </c>
      <c r="K749" s="307">
        <f t="shared" ca="1" si="334"/>
        <v>109.89399431236589</v>
      </c>
      <c r="L749" s="304">
        <f t="shared" ca="1" si="319"/>
        <v>544.14604935039131</v>
      </c>
      <c r="M749" s="306">
        <f t="shared" ca="1" si="335"/>
        <v>-1.5159483312853126</v>
      </c>
      <c r="N749" s="304">
        <f t="shared" ca="1" si="336"/>
        <v>-86.857441342548341</v>
      </c>
      <c r="P749" s="310">
        <f t="shared" ca="1" si="337"/>
        <v>23</v>
      </c>
      <c r="Q749" s="304">
        <f t="shared" ca="1" si="338"/>
        <v>0</v>
      </c>
      <c r="R749" s="306">
        <f t="shared" ca="1" si="339"/>
        <v>0</v>
      </c>
      <c r="S749" s="307">
        <f t="shared" ca="1" si="340"/>
        <v>6.8519999999999914</v>
      </c>
      <c r="T749" s="304">
        <f t="shared" ca="1" si="320"/>
        <v>67.218119999999914</v>
      </c>
      <c r="U749" s="311">
        <f t="shared" ca="1" si="321"/>
        <v>0</v>
      </c>
      <c r="V749" s="306">
        <f t="shared" ca="1" si="322"/>
        <v>1.2116115512025352</v>
      </c>
      <c r="W749" s="304">
        <f t="shared" ca="1" si="323"/>
        <v>52.922290100796474</v>
      </c>
      <c r="Y749" s="314" t="str">
        <f t="shared" ca="1" si="341"/>
        <v/>
      </c>
      <c r="Z749" s="315" t="str">
        <f t="shared" ca="1" si="342"/>
        <v/>
      </c>
      <c r="AA749" s="316" t="str">
        <f t="shared" ca="1" si="343"/>
        <v/>
      </c>
      <c r="AC749" s="310" t="e">
        <f t="shared" ca="1" si="344"/>
        <v>#N/A</v>
      </c>
      <c r="AD749" s="323" t="e">
        <f t="shared" ca="1" si="345"/>
        <v>#N/A</v>
      </c>
      <c r="AE749" s="324" t="e">
        <f t="shared" ca="1" si="324"/>
        <v>#N/A</v>
      </c>
      <c r="AG749" s="306">
        <f t="shared" ca="1" si="346"/>
        <v>2.1061812124239712</v>
      </c>
      <c r="AH749" s="304">
        <f t="shared" ca="1" si="347"/>
        <v>-7.6888448880743887</v>
      </c>
    </row>
    <row r="750" spans="1:34" x14ac:dyDescent="0.2">
      <c r="A750" s="347">
        <f t="shared" ca="1" si="325"/>
        <v>0.1</v>
      </c>
      <c r="B750" s="304">
        <f t="shared" ca="1" si="326"/>
        <v>38.600000000000236</v>
      </c>
      <c r="D750" s="306">
        <f t="shared" ca="1" si="327"/>
        <v>-0.42341307520331511</v>
      </c>
      <c r="E750" s="307">
        <f t="shared" ca="1" si="328"/>
        <v>-2.097987898000822</v>
      </c>
      <c r="F750" s="304">
        <f t="shared" ca="1" si="329"/>
        <v>2.140287796631807</v>
      </c>
      <c r="G750" s="306">
        <f t="shared" ca="1" si="330"/>
        <v>7.1840661066680163</v>
      </c>
      <c r="H750" s="307">
        <f t="shared" ca="1" si="331"/>
        <v>-131.83100913016693</v>
      </c>
      <c r="I750" s="304">
        <f t="shared" ca="1" si="332"/>
        <v>132.02661009850678</v>
      </c>
      <c r="J750" s="306">
        <f t="shared" ca="1" si="333"/>
        <v>533.65413402325316</v>
      </c>
      <c r="K750" s="307">
        <f t="shared" ca="1" si="334"/>
        <v>96.721383338839203</v>
      </c>
      <c r="L750" s="304">
        <f t="shared" ca="1" si="319"/>
        <v>542.34837582045634</v>
      </c>
      <c r="M750" s="306">
        <f t="shared" ca="1" si="335"/>
        <v>-1.516355665168253</v>
      </c>
      <c r="N750" s="304">
        <f t="shared" ca="1" si="336"/>
        <v>-86.880779854893518</v>
      </c>
      <c r="P750" s="310">
        <f t="shared" ca="1" si="337"/>
        <v>23</v>
      </c>
      <c r="Q750" s="304">
        <f t="shared" ca="1" si="338"/>
        <v>0</v>
      </c>
      <c r="R750" s="306">
        <f t="shared" ca="1" si="339"/>
        <v>0</v>
      </c>
      <c r="S750" s="307">
        <f t="shared" ca="1" si="340"/>
        <v>6.8519999999999914</v>
      </c>
      <c r="T750" s="304">
        <f t="shared" ca="1" si="320"/>
        <v>67.218119999999914</v>
      </c>
      <c r="U750" s="311">
        <f t="shared" ca="1" si="321"/>
        <v>0</v>
      </c>
      <c r="V750" s="306">
        <f t="shared" ca="1" si="322"/>
        <v>1.2132086543043479</v>
      </c>
      <c r="W750" s="304">
        <f t="shared" ca="1" si="323"/>
        <v>53.158750426852144</v>
      </c>
      <c r="Y750" s="314" t="str">
        <f t="shared" ca="1" si="341"/>
        <v/>
      </c>
      <c r="Z750" s="315" t="str">
        <f t="shared" ca="1" si="342"/>
        <v/>
      </c>
      <c r="AA750" s="316" t="str">
        <f t="shared" ca="1" si="343"/>
        <v/>
      </c>
      <c r="AC750" s="310" t="e">
        <f t="shared" ca="1" si="344"/>
        <v>#N/A</v>
      </c>
      <c r="AD750" s="323" t="e">
        <f t="shared" ca="1" si="345"/>
        <v>#N/A</v>
      </c>
      <c r="AE750" s="324" t="e">
        <f t="shared" ca="1" si="324"/>
        <v>#N/A</v>
      </c>
      <c r="AG750" s="306">
        <f t="shared" ca="1" si="346"/>
        <v>2.0716212814077819</v>
      </c>
      <c r="AH750" s="304">
        <f t="shared" ca="1" si="347"/>
        <v>-7.7236266930526183</v>
      </c>
    </row>
    <row r="751" spans="1:34" x14ac:dyDescent="0.2">
      <c r="A751" s="347">
        <f t="shared" ca="1" si="325"/>
        <v>0.1</v>
      </c>
      <c r="B751" s="304">
        <f t="shared" ca="1" si="326"/>
        <v>38.700000000000237</v>
      </c>
      <c r="D751" s="306">
        <f t="shared" ca="1" si="327"/>
        <v>-0.42214947824233023</v>
      </c>
      <c r="E751" s="307">
        <f t="shared" ca="1" si="328"/>
        <v>-2.0633575145132639</v>
      </c>
      <c r="F751" s="304">
        <f t="shared" ca="1" si="329"/>
        <v>2.1060993363748599</v>
      </c>
      <c r="G751" s="306">
        <f t="shared" ca="1" si="330"/>
        <v>7.1418511588437834</v>
      </c>
      <c r="H751" s="307">
        <f t="shared" ca="1" si="331"/>
        <v>-132.03734488161825</v>
      </c>
      <c r="I751" s="304">
        <f t="shared" ca="1" si="332"/>
        <v>132.23035385781316</v>
      </c>
      <c r="J751" s="306">
        <f t="shared" ca="1" si="333"/>
        <v>534.37042988652877</v>
      </c>
      <c r="K751" s="307">
        <f t="shared" ca="1" si="334"/>
        <v>83.527965638249938</v>
      </c>
      <c r="L751" s="304">
        <f t="shared" ca="1" si="319"/>
        <v>540.85920291770788</v>
      </c>
      <c r="M751" s="306">
        <f t="shared" ca="1" si="335"/>
        <v>-1.5167593539738757</v>
      </c>
      <c r="N751" s="304">
        <f t="shared" ca="1" si="336"/>
        <v>-86.903909519692363</v>
      </c>
      <c r="P751" s="310">
        <f t="shared" ca="1" si="337"/>
        <v>23</v>
      </c>
      <c r="Q751" s="304">
        <f t="shared" ca="1" si="338"/>
        <v>0</v>
      </c>
      <c r="R751" s="306">
        <f t="shared" ca="1" si="339"/>
        <v>0</v>
      </c>
      <c r="S751" s="307">
        <f t="shared" ca="1" si="340"/>
        <v>6.8519999999999914</v>
      </c>
      <c r="T751" s="304">
        <f t="shared" ca="1" si="320"/>
        <v>67.218119999999914</v>
      </c>
      <c r="U751" s="311">
        <f t="shared" ca="1" si="321"/>
        <v>0</v>
      </c>
      <c r="V751" s="306">
        <f t="shared" ca="1" si="322"/>
        <v>1.2148103801202739</v>
      </c>
      <c r="W751" s="304">
        <f t="shared" ca="1" si="323"/>
        <v>53.393345480144781</v>
      </c>
      <c r="Y751" s="314" t="str">
        <f t="shared" ca="1" si="341"/>
        <v/>
      </c>
      <c r="Z751" s="315" t="str">
        <f t="shared" ca="1" si="342"/>
        <v/>
      </c>
      <c r="AA751" s="316" t="str">
        <f t="shared" ca="1" si="343"/>
        <v/>
      </c>
      <c r="AC751" s="310" t="e">
        <f t="shared" ca="1" si="344"/>
        <v>#N/A</v>
      </c>
      <c r="AD751" s="323" t="e">
        <f t="shared" ca="1" si="345"/>
        <v>#N/A</v>
      </c>
      <c r="AE751" s="324" t="e">
        <f t="shared" ca="1" si="324"/>
        <v>#N/A</v>
      </c>
      <c r="AG751" s="306">
        <f t="shared" ca="1" si="346"/>
        <v>2.0373298486973006</v>
      </c>
      <c r="AH751" s="304">
        <f t="shared" ca="1" si="347"/>
        <v>-7.7581363728622605</v>
      </c>
    </row>
    <row r="752" spans="1:34" x14ac:dyDescent="0.2">
      <c r="A752" s="347">
        <f t="shared" ca="1" si="325"/>
        <v>0.1</v>
      </c>
      <c r="B752" s="304">
        <f t="shared" ca="1" si="326"/>
        <v>38.800000000000239</v>
      </c>
      <c r="D752" s="306">
        <f t="shared" ca="1" si="327"/>
        <v>-0.42087139935078033</v>
      </c>
      <c r="E752" s="307">
        <f t="shared" ca="1" si="328"/>
        <v>-2.029000246445225</v>
      </c>
      <c r="F752" s="304">
        <f t="shared" ca="1" si="329"/>
        <v>2.0721908056128102</v>
      </c>
      <c r="G752" s="306">
        <f t="shared" ca="1" si="330"/>
        <v>7.0997640189087052</v>
      </c>
      <c r="H752" s="307">
        <f t="shared" ca="1" si="331"/>
        <v>-132.24024490626277</v>
      </c>
      <c r="I752" s="304">
        <f t="shared" ca="1" si="332"/>
        <v>132.43069516540547</v>
      </c>
      <c r="J752" s="306">
        <f t="shared" ca="1" si="333"/>
        <v>535.08251064541639</v>
      </c>
      <c r="K752" s="307">
        <f t="shared" ca="1" si="334"/>
        <v>70.314086148855893</v>
      </c>
      <c r="L752" s="304">
        <f t="shared" ca="1" si="319"/>
        <v>539.68265111040103</v>
      </c>
      <c r="M752" s="306">
        <f t="shared" ca="1" si="335"/>
        <v>-1.5171594460912561</v>
      </c>
      <c r="N752" s="304">
        <f t="shared" ca="1" si="336"/>
        <v>-86.92683310943471</v>
      </c>
      <c r="P752" s="310">
        <f t="shared" ca="1" si="337"/>
        <v>23</v>
      </c>
      <c r="Q752" s="304">
        <f t="shared" ca="1" si="338"/>
        <v>0</v>
      </c>
      <c r="R752" s="306">
        <f t="shared" ca="1" si="339"/>
        <v>0</v>
      </c>
      <c r="S752" s="307">
        <f t="shared" ca="1" si="340"/>
        <v>6.8519999999999914</v>
      </c>
      <c r="T752" s="304">
        <f t="shared" ca="1" si="320"/>
        <v>67.218119999999914</v>
      </c>
      <c r="U752" s="311">
        <f t="shared" ca="1" si="321"/>
        <v>0</v>
      </c>
      <c r="V752" s="306">
        <f t="shared" ca="1" si="322"/>
        <v>1.2164167007887741</v>
      </c>
      <c r="W752" s="304">
        <f t="shared" ca="1" si="323"/>
        <v>53.626074934203942</v>
      </c>
      <c r="Y752" s="314" t="str">
        <f t="shared" ca="1" si="341"/>
        <v/>
      </c>
      <c r="Z752" s="315" t="str">
        <f t="shared" ca="1" si="342"/>
        <v/>
      </c>
      <c r="AA752" s="316" t="str">
        <f t="shared" ca="1" si="343"/>
        <v/>
      </c>
      <c r="AC752" s="310" t="e">
        <f t="shared" ca="1" si="344"/>
        <v>#N/A</v>
      </c>
      <c r="AD752" s="323" t="e">
        <f t="shared" ca="1" si="345"/>
        <v>#N/A</v>
      </c>
      <c r="AE752" s="324" t="e">
        <f t="shared" ca="1" si="324"/>
        <v>#N/A</v>
      </c>
      <c r="AG752" s="306">
        <f t="shared" ca="1" si="346"/>
        <v>2.0033070825662538</v>
      </c>
      <c r="AH752" s="304">
        <f t="shared" ca="1" si="347"/>
        <v>-7.7923738295599598</v>
      </c>
    </row>
    <row r="753" spans="1:34" x14ac:dyDescent="0.2">
      <c r="A753" s="347">
        <f t="shared" ca="1" si="325"/>
        <v>0.1</v>
      </c>
      <c r="B753" s="304">
        <f t="shared" ca="1" si="326"/>
        <v>38.90000000000024</v>
      </c>
      <c r="D753" s="306">
        <f t="shared" ca="1" si="327"/>
        <v>-0.41957916231297915</v>
      </c>
      <c r="E753" s="307">
        <f t="shared" ca="1" si="328"/>
        <v>-1.9949161417112302</v>
      </c>
      <c r="F753" s="304">
        <f t="shared" ca="1" si="329"/>
        <v>2.0385625047830351</v>
      </c>
      <c r="G753" s="306">
        <f t="shared" ca="1" si="330"/>
        <v>7.0578061026774073</v>
      </c>
      <c r="H753" s="307">
        <f t="shared" ca="1" si="331"/>
        <v>-132.43973652043391</v>
      </c>
      <c r="I753" s="304">
        <f t="shared" ca="1" si="332"/>
        <v>132.62766090293889</v>
      </c>
      <c r="J753" s="306">
        <f t="shared" ca="1" si="333"/>
        <v>535.79038915149567</v>
      </c>
      <c r="K753" s="307">
        <f t="shared" ca="1" si="334"/>
        <v>57.080087077521057</v>
      </c>
      <c r="L753" s="304">
        <f t="shared" ca="1" si="319"/>
        <v>538.82230600439004</v>
      </c>
      <c r="M753" s="306">
        <f t="shared" ca="1" si="335"/>
        <v>-1.5175559889778578</v>
      </c>
      <c r="N753" s="304">
        <f t="shared" ca="1" si="336"/>
        <v>-86.949553343232935</v>
      </c>
      <c r="P753" s="310">
        <f t="shared" ca="1" si="337"/>
        <v>23</v>
      </c>
      <c r="Q753" s="304">
        <f t="shared" ca="1" si="338"/>
        <v>0</v>
      </c>
      <c r="R753" s="306">
        <f t="shared" ca="1" si="339"/>
        <v>0</v>
      </c>
      <c r="S753" s="307">
        <f t="shared" ca="1" si="340"/>
        <v>6.8519999999999914</v>
      </c>
      <c r="T753" s="304">
        <f t="shared" ca="1" si="320"/>
        <v>67.218119999999914</v>
      </c>
      <c r="U753" s="311">
        <f t="shared" ca="1" si="321"/>
        <v>0</v>
      </c>
      <c r="V753" s="306">
        <f t="shared" ca="1" si="322"/>
        <v>1.2180275886254239</v>
      </c>
      <c r="W753" s="304">
        <f t="shared" ca="1" si="323"/>
        <v>53.856938800922613</v>
      </c>
      <c r="Y753" s="314" t="str">
        <f t="shared" ca="1" si="341"/>
        <v/>
      </c>
      <c r="Z753" s="315" t="str">
        <f t="shared" ca="1" si="342"/>
        <v/>
      </c>
      <c r="AA753" s="316" t="str">
        <f t="shared" ca="1" si="343"/>
        <v/>
      </c>
      <c r="AC753" s="310" t="e">
        <f t="shared" ca="1" si="344"/>
        <v>#N/A</v>
      </c>
      <c r="AD753" s="323" t="e">
        <f t="shared" ca="1" si="345"/>
        <v>#N/A</v>
      </c>
      <c r="AE753" s="324" t="e">
        <f t="shared" ca="1" si="324"/>
        <v>#N/A</v>
      </c>
      <c r="AG753" s="306">
        <f t="shared" ca="1" si="346"/>
        <v>1.9695530993165988</v>
      </c>
      <c r="AH753" s="304">
        <f t="shared" ca="1" si="347"/>
        <v>-7.826339015499709</v>
      </c>
    </row>
    <row r="754" spans="1:34" x14ac:dyDescent="0.2">
      <c r="A754" s="347">
        <f t="shared" ca="1" si="325"/>
        <v>0.1</v>
      </c>
      <c r="B754" s="304">
        <f t="shared" ca="1" si="326"/>
        <v>39.000000000000242</v>
      </c>
      <c r="D754" s="306">
        <f t="shared" ca="1" si="327"/>
        <v>-0.41827308845061761</v>
      </c>
      <c r="E754" s="307">
        <f t="shared" ca="1" si="328"/>
        <v>-1.9611051986858623</v>
      </c>
      <c r="F754" s="304">
        <f t="shared" ca="1" si="329"/>
        <v>2.005214695945233</v>
      </c>
      <c r="G754" s="306">
        <f t="shared" ca="1" si="330"/>
        <v>7.0159787938323452</v>
      </c>
      <c r="H754" s="307">
        <f t="shared" ca="1" si="331"/>
        <v>-132.63584704030251</v>
      </c>
      <c r="I754" s="304">
        <f t="shared" ca="1" si="332"/>
        <v>132.82127795851849</v>
      </c>
      <c r="J754" s="306">
        <f t="shared" ca="1" si="333"/>
        <v>536.49407839632113</v>
      </c>
      <c r="K754" s="307">
        <f t="shared" ca="1" si="334"/>
        <v>43.826307899484235</v>
      </c>
      <c r="L754" s="304">
        <f t="shared" ca="1" si="319"/>
        <v>538.28119177472502</v>
      </c>
      <c r="M754" s="306">
        <f t="shared" ca="1" si="335"/>
        <v>-1.5179490291820135</v>
      </c>
      <c r="N754" s="304">
        <f t="shared" ca="1" si="336"/>
        <v>-86.972072888110006</v>
      </c>
      <c r="P754" s="310">
        <f t="shared" ca="1" si="337"/>
        <v>23</v>
      </c>
      <c r="Q754" s="304">
        <f t="shared" ca="1" si="338"/>
        <v>0</v>
      </c>
      <c r="R754" s="306">
        <f t="shared" ca="1" si="339"/>
        <v>0</v>
      </c>
      <c r="S754" s="307">
        <f t="shared" ca="1" si="340"/>
        <v>6.8519999999999914</v>
      </c>
      <c r="T754" s="304">
        <f t="shared" ca="1" si="320"/>
        <v>67.218119999999914</v>
      </c>
      <c r="U754" s="311">
        <f t="shared" ca="1" si="321"/>
        <v>0</v>
      </c>
      <c r="V754" s="306">
        <f t="shared" ca="1" si="322"/>
        <v>1.2196430161235521</v>
      </c>
      <c r="W754" s="304">
        <f t="shared" ca="1" si="323"/>
        <v>54.085937424295473</v>
      </c>
      <c r="Y754" s="314" t="str">
        <f t="shared" ca="1" si="341"/>
        <v/>
      </c>
      <c r="Z754" s="315" t="str">
        <f t="shared" ca="1" si="342"/>
        <v/>
      </c>
      <c r="AA754" s="316" t="str">
        <f t="shared" ca="1" si="343"/>
        <v/>
      </c>
      <c r="AC754" s="310">
        <f t="shared" ca="1" si="344"/>
        <v>39.000000000000242</v>
      </c>
      <c r="AD754" s="323">
        <f t="shared" ca="1" si="345"/>
        <v>536.49407839632113</v>
      </c>
      <c r="AE754" s="324" t="e">
        <f t="shared" ca="1" si="324"/>
        <v>#N/A</v>
      </c>
      <c r="AG754" s="306">
        <f t="shared" ca="1" si="346"/>
        <v>1.9360679642421861</v>
      </c>
      <c r="AH754" s="304">
        <f t="shared" ca="1" si="347"/>
        <v>-7.8600319324172041</v>
      </c>
    </row>
    <row r="755" spans="1:34" x14ac:dyDescent="0.2">
      <c r="A755" s="347">
        <f t="shared" ca="1" si="325"/>
        <v>0.1</v>
      </c>
      <c r="B755" s="304">
        <f t="shared" ca="1" si="326"/>
        <v>39.100000000000243</v>
      </c>
      <c r="D755" s="306">
        <f t="shared" ca="1" si="327"/>
        <v>-0.41695349658596215</v>
      </c>
      <c r="E755" s="307">
        <f t="shared" ca="1" si="328"/>
        <v>-1.9275673671204467</v>
      </c>
      <c r="F755" s="304">
        <f t="shared" ca="1" si="329"/>
        <v>1.9721476042890174</v>
      </c>
      <c r="G755" s="306">
        <f t="shared" ca="1" si="330"/>
        <v>6.9742834441737491</v>
      </c>
      <c r="H755" s="307">
        <f t="shared" ca="1" si="331"/>
        <v>-132.82860377701456</v>
      </c>
      <c r="I755" s="304">
        <f t="shared" ca="1" si="332"/>
        <v>133.01157322169678</v>
      </c>
      <c r="J755" s="306">
        <f t="shared" ca="1" si="333"/>
        <v>537.1935915082214</v>
      </c>
      <c r="K755" s="307">
        <f t="shared" ca="1" si="334"/>
        <v>30.553085358618382</v>
      </c>
      <c r="L755" s="304">
        <f t="shared" ca="1" si="319"/>
        <v>538.06174904227566</v>
      </c>
      <c r="M755" s="306">
        <f t="shared" ca="1" si="335"/>
        <v>-1.5183386123647693</v>
      </c>
      <c r="N755" s="304">
        <f t="shared" ca="1" si="336"/>
        <v>-86.994394360251192</v>
      </c>
      <c r="P755" s="310">
        <f t="shared" ca="1" si="337"/>
        <v>23</v>
      </c>
      <c r="Q755" s="304">
        <f t="shared" ca="1" si="338"/>
        <v>0</v>
      </c>
      <c r="R755" s="306">
        <f t="shared" ca="1" si="339"/>
        <v>0</v>
      </c>
      <c r="S755" s="307">
        <f t="shared" ca="1" si="340"/>
        <v>6.8519999999999914</v>
      </c>
      <c r="T755" s="304">
        <f t="shared" ca="1" si="320"/>
        <v>67.218119999999914</v>
      </c>
      <c r="U755" s="311">
        <f t="shared" ca="1" si="321"/>
        <v>0</v>
      </c>
      <c r="V755" s="306">
        <f t="shared" ca="1" si="322"/>
        <v>1.2212629559548545</v>
      </c>
      <c r="W755" s="304">
        <f t="shared" ca="1" si="323"/>
        <v>54.313071474173285</v>
      </c>
      <c r="Y755" s="314" t="str">
        <f t="shared" ca="1" si="341"/>
        <v/>
      </c>
      <c r="Z755" s="315" t="str">
        <f t="shared" ca="1" si="342"/>
        <v/>
      </c>
      <c r="AA755" s="316" t="str">
        <f t="shared" ca="1" si="343"/>
        <v/>
      </c>
      <c r="AC755" s="310" t="e">
        <f t="shared" ca="1" si="344"/>
        <v>#N/A</v>
      </c>
      <c r="AD755" s="323" t="e">
        <f t="shared" ca="1" si="345"/>
        <v>#N/A</v>
      </c>
      <c r="AE755" s="324" t="e">
        <f t="shared" ca="1" si="324"/>
        <v>#N/A</v>
      </c>
      <c r="AG755" s="306">
        <f t="shared" ca="1" si="346"/>
        <v>1.9028516925890271</v>
      </c>
      <c r="AH755" s="304">
        <f t="shared" ca="1" si="347"/>
        <v>-7.8934526305159869</v>
      </c>
    </row>
    <row r="756" spans="1:34" x14ac:dyDescent="0.2">
      <c r="A756" s="347">
        <f t="shared" ca="1" si="325"/>
        <v>0.1</v>
      </c>
      <c r="B756" s="304">
        <f t="shared" ca="1" si="326"/>
        <v>39.200000000000244</v>
      </c>
      <c r="D756" s="306">
        <f t="shared" ca="1" si="327"/>
        <v>-0.41562070300667159</v>
      </c>
      <c r="E756" s="307">
        <f t="shared" ca="1" si="328"/>
        <v>-1.8943025490573708</v>
      </c>
      <c r="F756" s="304">
        <f t="shared" ca="1" si="329"/>
        <v>1.9393614196773672</v>
      </c>
      <c r="G756" s="306">
        <f t="shared" ca="1" si="330"/>
        <v>6.9327213738730817</v>
      </c>
      <c r="H756" s="307">
        <f t="shared" ca="1" si="331"/>
        <v>-133.01803403192031</v>
      </c>
      <c r="I756" s="304">
        <f t="shared" ca="1" si="332"/>
        <v>133.19857357856677</v>
      </c>
      <c r="J756" s="306">
        <f t="shared" ca="1" si="333"/>
        <v>537.88894174912377</v>
      </c>
      <c r="K756" s="307">
        <f t="shared" ca="1" si="334"/>
        <v>17.260753468171636</v>
      </c>
      <c r="L756" s="304">
        <f t="shared" ca="1" si="319"/>
        <v>538.16581763085003</v>
      </c>
      <c r="M756" s="306">
        <f t="shared" ca="1" si="335"/>
        <v>-1.518724783321111</v>
      </c>
      <c r="N756" s="304">
        <f t="shared" ca="1" si="336"/>
        <v>-87.016520326220103</v>
      </c>
      <c r="P756" s="310">
        <f t="shared" ca="1" si="337"/>
        <v>23</v>
      </c>
      <c r="Q756" s="304">
        <f t="shared" ca="1" si="338"/>
        <v>0</v>
      </c>
      <c r="R756" s="306">
        <f t="shared" ca="1" si="339"/>
        <v>0</v>
      </c>
      <c r="S756" s="307">
        <f t="shared" ca="1" si="340"/>
        <v>6.8519999999999914</v>
      </c>
      <c r="T756" s="304">
        <f t="shared" ca="1" si="320"/>
        <v>67.218119999999914</v>
      </c>
      <c r="U756" s="311">
        <f t="shared" ca="1" si="321"/>
        <v>0</v>
      </c>
      <c r="V756" s="306">
        <f t="shared" ca="1" si="322"/>
        <v>1.2228873809699616</v>
      </c>
      <c r="W756" s="304">
        <f t="shared" ca="1" si="323"/>
        <v>54.53834194003479</v>
      </c>
      <c r="Y756" s="314" t="str">
        <f t="shared" ca="1" si="341"/>
        <v/>
      </c>
      <c r="Z756" s="315" t="str">
        <f t="shared" ca="1" si="342"/>
        <v/>
      </c>
      <c r="AA756" s="316" t="str">
        <f t="shared" ca="1" si="343"/>
        <v/>
      </c>
      <c r="AC756" s="310" t="e">
        <f t="shared" ca="1" si="344"/>
        <v>#N/A</v>
      </c>
      <c r="AD756" s="323" t="e">
        <f t="shared" ca="1" si="345"/>
        <v>#N/A</v>
      </c>
      <c r="AE756" s="324" t="e">
        <f t="shared" ca="1" si="324"/>
        <v>#N/A</v>
      </c>
      <c r="AG756" s="306">
        <f t="shared" ca="1" si="346"/>
        <v>1.8699042505116683</v>
      </c>
      <c r="AH756" s="304">
        <f t="shared" ca="1" si="347"/>
        <v>-7.9266012075559473</v>
      </c>
    </row>
    <row r="757" spans="1:34" x14ac:dyDescent="0.2">
      <c r="A757" s="347">
        <f t="shared" ca="1" si="325"/>
        <v>0.1</v>
      </c>
      <c r="B757" s="304">
        <f t="shared" ca="1" si="326"/>
        <v>39.300000000000246</v>
      </c>
      <c r="D757" s="306">
        <f t="shared" ca="1" si="327"/>
        <v>-0.4142750214322391</v>
      </c>
      <c r="E757" s="307">
        <f t="shared" ca="1" si="328"/>
        <v>-1.8613105997418478</v>
      </c>
      <c r="F757" s="304">
        <f t="shared" ca="1" si="329"/>
        <v>1.9068562982285895</v>
      </c>
      <c r="G757" s="306">
        <f t="shared" ca="1" si="330"/>
        <v>6.8912938717298582</v>
      </c>
      <c r="H757" s="307">
        <f t="shared" ca="1" si="331"/>
        <v>-133.20416509189448</v>
      </c>
      <c r="I757" s="304">
        <f t="shared" ca="1" si="332"/>
        <v>133.38230590695014</v>
      </c>
      <c r="J757" s="306">
        <f t="shared" ca="1" si="333"/>
        <v>538.58014251140389</v>
      </c>
      <c r="K757" s="307">
        <f t="shared" ca="1" si="334"/>
        <v>3.949643511980895</v>
      </c>
      <c r="L757" s="304">
        <f t="shared" ca="1" si="319"/>
        <v>538.59462454751247</v>
      </c>
      <c r="M757" s="306">
        <f t="shared" ca="1" si="335"/>
        <v>-1.5191075860005927</v>
      </c>
      <c r="N757" s="304">
        <f t="shared" ca="1" si="336"/>
        <v>-87.038453304140702</v>
      </c>
      <c r="P757" s="310">
        <f t="shared" ca="1" si="337"/>
        <v>23</v>
      </c>
      <c r="Q757" s="304">
        <f t="shared" ca="1" si="338"/>
        <v>0</v>
      </c>
      <c r="R757" s="306">
        <f t="shared" ca="1" si="339"/>
        <v>0</v>
      </c>
      <c r="S757" s="307">
        <f t="shared" ca="1" si="340"/>
        <v>6.8519999999999914</v>
      </c>
      <c r="T757" s="304">
        <f t="shared" ca="1" si="320"/>
        <v>67.218119999999914</v>
      </c>
      <c r="U757" s="311">
        <f t="shared" ca="1" si="321"/>
        <v>0</v>
      </c>
      <c r="V757" s="306">
        <f t="shared" ca="1" si="322"/>
        <v>1.2245162641989809</v>
      </c>
      <c r="W757" s="304">
        <f t="shared" ca="1" si="323"/>
        <v>54.761750124779304</v>
      </c>
      <c r="Y757" s="314" t="str">
        <f t="shared" ca="1" si="341"/>
        <v/>
      </c>
      <c r="Z757" s="315" t="str">
        <f t="shared" ca="1" si="342"/>
        <v/>
      </c>
      <c r="AA757" s="316" t="str">
        <f t="shared" ca="1" si="343"/>
        <v/>
      </c>
      <c r="AC757" s="310" t="e">
        <f t="shared" ca="1" si="344"/>
        <v>#N/A</v>
      </c>
      <c r="AD757" s="323" t="e">
        <f t="shared" ca="1" si="345"/>
        <v>#N/A</v>
      </c>
      <c r="AE757" s="324" t="e">
        <f t="shared" ca="1" si="324"/>
        <v>#N/A</v>
      </c>
      <c r="AG757" s="306">
        <f t="shared" ca="1" si="346"/>
        <v>1.8372255560255306</v>
      </c>
      <c r="AH757" s="304">
        <f t="shared" ca="1" si="347"/>
        <v>-7.9594778079443751</v>
      </c>
    </row>
    <row r="758" spans="1:34" x14ac:dyDescent="0.2">
      <c r="A758" s="347">
        <f t="shared" ca="1" si="325"/>
        <v>0.1</v>
      </c>
      <c r="B758" s="304">
        <f t="shared" ca="1" si="326"/>
        <v>39.400000000000247</v>
      </c>
      <c r="D758" s="306">
        <f t="shared" ca="1" si="327"/>
        <v>-0.41291676298202451</v>
      </c>
      <c r="E758" s="307">
        <f t="shared" ca="1" si="328"/>
        <v>-1.8285913285306572</v>
      </c>
      <c r="F758" s="304">
        <f t="shared" ca="1" si="329"/>
        <v>1.8746323639394118</v>
      </c>
      <c r="G758" s="306">
        <f t="shared" ca="1" si="330"/>
        <v>6.8500021954316557</v>
      </c>
      <c r="H758" s="307">
        <f t="shared" ca="1" si="331"/>
        <v>-133.38702422474753</v>
      </c>
      <c r="I758" s="304">
        <f t="shared" ca="1" si="332"/>
        <v>133.56279707168014</v>
      </c>
      <c r="J758" s="306">
        <f t="shared" ca="1" si="333"/>
        <v>539.267207314762</v>
      </c>
      <c r="K758" s="307">
        <f t="shared" ca="1" si="334"/>
        <v>-9.3799159538512082</v>
      </c>
      <c r="L758" s="304">
        <f t="shared" ca="1" si="319"/>
        <v>539.34877742362949</v>
      </c>
      <c r="M758" s="306">
        <f t="shared" ca="1" si="335"/>
        <v>-1.5194870635273863</v>
      </c>
      <c r="N758" s="304">
        <f t="shared" ca="1" si="336"/>
        <v>-87.060195764846043</v>
      </c>
      <c r="P758" s="310">
        <f t="shared" ca="1" si="337"/>
        <v>23</v>
      </c>
      <c r="Q758" s="304">
        <f t="shared" ca="1" si="338"/>
        <v>0</v>
      </c>
      <c r="R758" s="306">
        <f t="shared" ca="1" si="339"/>
        <v>0</v>
      </c>
      <c r="S758" s="307">
        <f t="shared" ca="1" si="340"/>
        <v>6.8519999999999914</v>
      </c>
      <c r="T758" s="304">
        <f t="shared" ca="1" si="320"/>
        <v>67.218119999999914</v>
      </c>
      <c r="U758" s="311">
        <f t="shared" ca="1" si="321"/>
        <v>0</v>
      </c>
      <c r="V758" s="306">
        <f t="shared" ca="1" si="322"/>
        <v>1.2261495788519974</v>
      </c>
      <c r="W758" s="304">
        <f t="shared" ca="1" si="323"/>
        <v>54.983297638541579</v>
      </c>
      <c r="Y758" s="314" t="str">
        <f t="shared" ca="1" si="341"/>
        <v>Impact balistique</v>
      </c>
      <c r="Z758" s="315" t="str">
        <f t="shared" ca="1" si="342"/>
        <v/>
      </c>
      <c r="AA758" s="316" t="str">
        <f t="shared" ca="1" si="343"/>
        <v/>
      </c>
      <c r="AC758" s="310" t="e">
        <f t="shared" ca="1" si="344"/>
        <v>#N/A</v>
      </c>
      <c r="AD758" s="323" t="e">
        <f t="shared" ca="1" si="345"/>
        <v>#N/A</v>
      </c>
      <c r="AE758" s="324" t="e">
        <f t="shared" ca="1" si="324"/>
        <v>#N/A</v>
      </c>
      <c r="AG758" s="306">
        <f t="shared" ca="1" si="346"/>
        <v>1.8048154799548115</v>
      </c>
      <c r="AH758" s="304">
        <f t="shared" ca="1" si="347"/>
        <v>-7.9920826218300309</v>
      </c>
    </row>
    <row r="759" spans="1:34" x14ac:dyDescent="0.2">
      <c r="A759" s="347">
        <f t="shared" ca="1" si="325"/>
        <v>1E-4</v>
      </c>
      <c r="B759" s="304">
        <f t="shared" ca="1" si="326"/>
        <v>39.400100000000251</v>
      </c>
      <c r="D759" s="306">
        <f t="shared" ca="1" si="327"/>
        <v>-0.41154623614486135</v>
      </c>
      <c r="E759" s="307">
        <f t="shared" ca="1" si="328"/>
        <v>-1.7961444997976255</v>
      </c>
      <c r="F759" s="304">
        <f t="shared" ca="1" si="329"/>
        <v>1.8426897103523057</v>
      </c>
      <c r="G759" s="306">
        <f t="shared" ca="1" si="330"/>
        <v>6.8499610408080409</v>
      </c>
      <c r="H759" s="307">
        <f t="shared" ca="1" si="331"/>
        <v>-133.38720383919753</v>
      </c>
      <c r="I759" s="304">
        <f t="shared" ca="1" si="332"/>
        <v>133.56297433907429</v>
      </c>
      <c r="J759" s="306">
        <f t="shared" ca="1" si="333"/>
        <v>539.267207314762</v>
      </c>
      <c r="K759" s="307">
        <f t="shared" ca="1" si="334"/>
        <v>-9.3932546652544051</v>
      </c>
      <c r="L759" s="304">
        <f t="shared" ca="1" si="319"/>
        <v>539.34900956455715</v>
      </c>
      <c r="M759" s="306">
        <f t="shared" ca="1" si="335"/>
        <v>-1.51948744022089</v>
      </c>
      <c r="N759" s="304">
        <f t="shared" ca="1" si="336"/>
        <v>-87.060217347793966</v>
      </c>
      <c r="P759" s="310">
        <f t="shared" ca="1" si="337"/>
        <v>23</v>
      </c>
      <c r="Q759" s="304">
        <f t="shared" ca="1" si="338"/>
        <v>0</v>
      </c>
      <c r="R759" s="306">
        <f t="shared" ca="1" si="339"/>
        <v>0</v>
      </c>
      <c r="S759" s="307">
        <f t="shared" ca="1" si="340"/>
        <v>6.8519999999999914</v>
      </c>
      <c r="T759" s="304">
        <f t="shared" ca="1" si="320"/>
        <v>67.218119999999914</v>
      </c>
      <c r="U759" s="311">
        <f t="shared" ca="1" si="321"/>
        <v>0</v>
      </c>
      <c r="V759" s="306">
        <f t="shared" ca="1" si="322"/>
        <v>1.2261512143789854</v>
      </c>
      <c r="W759" s="304">
        <f t="shared" ca="1" si="323"/>
        <v>54.98351692954374</v>
      </c>
      <c r="Y759" s="314" t="str">
        <f t="shared" ca="1" si="341"/>
        <v/>
      </c>
      <c r="Z759" s="315" t="str">
        <f t="shared" ca="1" si="342"/>
        <v/>
      </c>
      <c r="AA759" s="316" t="str">
        <f t="shared" ca="1" si="343"/>
        <v/>
      </c>
      <c r="AC759" s="310" t="e">
        <f t="shared" ca="1" si="344"/>
        <v>#N/A</v>
      </c>
      <c r="AD759" s="323" t="e">
        <f t="shared" ca="1" si="345"/>
        <v>#N/A</v>
      </c>
      <c r="AE759" s="324" t="e">
        <f t="shared" ca="1" si="324"/>
        <v>#N/A</v>
      </c>
      <c r="AG759" s="306">
        <f t="shared" ca="1" si="346"/>
        <v>1.7726738468757386</v>
      </c>
      <c r="AH759" s="304">
        <f t="shared" ca="1" si="347"/>
        <v>-8.024415884200474</v>
      </c>
    </row>
    <row r="760" spans="1:34" x14ac:dyDescent="0.2">
      <c r="A760" s="347">
        <f t="shared" ca="1" si="325"/>
        <v>1E-4</v>
      </c>
      <c r="B760" s="304">
        <f t="shared" ca="1" si="326"/>
        <v>39.400200000000254</v>
      </c>
      <c r="D760" s="306">
        <f t="shared" ca="1" si="327"/>
        <v>-0.41154485874369384</v>
      </c>
      <c r="E760" s="307">
        <f t="shared" ca="1" si="328"/>
        <v>-1.7961123829482037</v>
      </c>
      <c r="F760" s="304">
        <f t="shared" ca="1" si="329"/>
        <v>1.8426580971352884</v>
      </c>
      <c r="G760" s="306">
        <f t="shared" ca="1" si="330"/>
        <v>6.8499198863221666</v>
      </c>
      <c r="H760" s="307">
        <f t="shared" ca="1" si="331"/>
        <v>-133.38738345043583</v>
      </c>
      <c r="I760" s="304">
        <f t="shared" ca="1" si="332"/>
        <v>133.56315160328703</v>
      </c>
      <c r="J760" s="306">
        <f t="shared" ca="1" si="333"/>
        <v>539.267207314762</v>
      </c>
      <c r="K760" s="307">
        <f t="shared" ca="1" si="334"/>
        <v>-9.406593394618886</v>
      </c>
      <c r="L760" s="304">
        <f t="shared" ca="1" si="319"/>
        <v>539.34924203557955</v>
      </c>
      <c r="M760" s="306">
        <f t="shared" ca="1" si="335"/>
        <v>-1.5194878169111308</v>
      </c>
      <c r="N760" s="304">
        <f t="shared" ca="1" si="336"/>
        <v>-87.060238930554945</v>
      </c>
      <c r="P760" s="310">
        <f t="shared" ca="1" si="337"/>
        <v>23</v>
      </c>
      <c r="Q760" s="304">
        <f t="shared" ca="1" si="338"/>
        <v>0</v>
      </c>
      <c r="R760" s="306">
        <f t="shared" ca="1" si="339"/>
        <v>0</v>
      </c>
      <c r="S760" s="307">
        <f t="shared" ca="1" si="340"/>
        <v>6.8519999999999914</v>
      </c>
      <c r="T760" s="304">
        <f t="shared" ca="1" si="320"/>
        <v>67.218119999999914</v>
      </c>
      <c r="U760" s="311">
        <f t="shared" ca="1" si="321"/>
        <v>0</v>
      </c>
      <c r="V760" s="306">
        <f t="shared" ca="1" si="322"/>
        <v>1.2261528499103584</v>
      </c>
      <c r="W760" s="304">
        <f t="shared" ca="1" si="323"/>
        <v>54.983736218706248</v>
      </c>
      <c r="Y760" s="314" t="str">
        <f t="shared" ca="1" si="341"/>
        <v/>
      </c>
      <c r="Z760" s="315" t="str">
        <f t="shared" ca="1" si="342"/>
        <v/>
      </c>
      <c r="AA760" s="316" t="str">
        <f t="shared" ca="1" si="343"/>
        <v/>
      </c>
      <c r="AC760" s="310" t="e">
        <f t="shared" ca="1" si="344"/>
        <v>#N/A</v>
      </c>
      <c r="AD760" s="323" t="e">
        <f t="shared" ca="1" si="345"/>
        <v>#N/A</v>
      </c>
      <c r="AE760" s="324" t="e">
        <f t="shared" ca="1" si="324"/>
        <v>#N/A</v>
      </c>
      <c r="AG760" s="306">
        <f t="shared" ca="1" si="346"/>
        <v>1.7726420324574566</v>
      </c>
      <c r="AH760" s="304">
        <f t="shared" ca="1" si="347"/>
        <v>-8.0244478881412444</v>
      </c>
    </row>
    <row r="761" spans="1:34" x14ac:dyDescent="0.2">
      <c r="A761" s="347">
        <f t="shared" ca="1" si="325"/>
        <v>1E-4</v>
      </c>
      <c r="B761" s="304">
        <f t="shared" ca="1" si="326"/>
        <v>39.400300000000257</v>
      </c>
      <c r="D761" s="306">
        <f t="shared" ca="1" si="327"/>
        <v>-0.41154348133076779</v>
      </c>
      <c r="E761" s="307">
        <f t="shared" ca="1" si="328"/>
        <v>-1.7960802663681594</v>
      </c>
      <c r="F761" s="304">
        <f t="shared" ca="1" si="329"/>
        <v>1.8426264841966662</v>
      </c>
      <c r="G761" s="306">
        <f t="shared" ca="1" si="330"/>
        <v>6.8498787319740337</v>
      </c>
      <c r="H761" s="307">
        <f t="shared" ca="1" si="331"/>
        <v>-133.38756305846246</v>
      </c>
      <c r="I761" s="304">
        <f t="shared" ca="1" si="332"/>
        <v>133.56332886431832</v>
      </c>
      <c r="J761" s="306">
        <f t="shared" ca="1" si="333"/>
        <v>539.267207314762</v>
      </c>
      <c r="K761" s="307">
        <f t="shared" ca="1" si="334"/>
        <v>-9.4199321419443311</v>
      </c>
      <c r="L761" s="304">
        <f t="shared" ca="1" si="319"/>
        <v>539.34947483669748</v>
      </c>
      <c r="M761" s="306">
        <f t="shared" ca="1" si="335"/>
        <v>-1.5194881935981086</v>
      </c>
      <c r="N761" s="304">
        <f t="shared" ca="1" si="336"/>
        <v>-87.060260513128981</v>
      </c>
      <c r="P761" s="310">
        <f t="shared" ca="1" si="337"/>
        <v>23</v>
      </c>
      <c r="Q761" s="304">
        <f t="shared" ca="1" si="338"/>
        <v>0</v>
      </c>
      <c r="R761" s="306">
        <f t="shared" ca="1" si="339"/>
        <v>0</v>
      </c>
      <c r="S761" s="307">
        <f t="shared" ca="1" si="340"/>
        <v>6.8519999999999914</v>
      </c>
      <c r="T761" s="304">
        <f t="shared" ca="1" si="320"/>
        <v>67.218119999999914</v>
      </c>
      <c r="U761" s="311">
        <f t="shared" ca="1" si="321"/>
        <v>0</v>
      </c>
      <c r="V761" s="306">
        <f t="shared" ca="1" si="322"/>
        <v>1.2261544854461162</v>
      </c>
      <c r="W761" s="304">
        <f t="shared" ca="1" si="323"/>
        <v>54.983955506029005</v>
      </c>
      <c r="Y761" s="314" t="str">
        <f t="shared" ca="1" si="341"/>
        <v/>
      </c>
      <c r="Z761" s="315" t="str">
        <f t="shared" ca="1" si="342"/>
        <v/>
      </c>
      <c r="AA761" s="316" t="str">
        <f t="shared" ca="1" si="343"/>
        <v/>
      </c>
      <c r="AC761" s="310" t="e">
        <f t="shared" ca="1" si="344"/>
        <v>#N/A</v>
      </c>
      <c r="AD761" s="323" t="e">
        <f t="shared" ca="1" si="345"/>
        <v>#N/A</v>
      </c>
      <c r="AE761" s="324" t="e">
        <f t="shared" ca="1" si="324"/>
        <v>#N/A</v>
      </c>
      <c r="AG761" s="306">
        <f t="shared" ca="1" si="346"/>
        <v>1.7726102183046262</v>
      </c>
      <c r="AH761" s="304">
        <f t="shared" ca="1" si="347"/>
        <v>-8.0244798918135309</v>
      </c>
    </row>
    <row r="762" spans="1:34" x14ac:dyDescent="0.2">
      <c r="A762" s="347">
        <f t="shared" ca="1" si="325"/>
        <v>1E-4</v>
      </c>
      <c r="B762" s="304">
        <f t="shared" ca="1" si="326"/>
        <v>39.400400000000261</v>
      </c>
      <c r="D762" s="306">
        <f t="shared" ca="1" si="327"/>
        <v>-0.4115421039060832</v>
      </c>
      <c r="E762" s="307">
        <f t="shared" ca="1" si="328"/>
        <v>-1.7960481500575014</v>
      </c>
      <c r="F762" s="304">
        <f t="shared" ca="1" si="329"/>
        <v>1.8425948715364477</v>
      </c>
      <c r="G762" s="306">
        <f t="shared" ca="1" si="330"/>
        <v>6.8498375777636431</v>
      </c>
      <c r="H762" s="307">
        <f t="shared" ca="1" si="331"/>
        <v>-133.38774266327746</v>
      </c>
      <c r="I762" s="304">
        <f t="shared" ca="1" si="332"/>
        <v>133.56350612216826</v>
      </c>
      <c r="J762" s="306">
        <f t="shared" ca="1" si="333"/>
        <v>539.267207314762</v>
      </c>
      <c r="K762" s="307">
        <f t="shared" ca="1" si="334"/>
        <v>-9.4332709072304173</v>
      </c>
      <c r="L762" s="304">
        <f t="shared" ca="1" si="319"/>
        <v>539.34970796791174</v>
      </c>
      <c r="M762" s="306">
        <f t="shared" ca="1" si="335"/>
        <v>-1.5194885702818233</v>
      </c>
      <c r="N762" s="304">
        <f t="shared" ca="1" si="336"/>
        <v>-87.060282095516044</v>
      </c>
      <c r="P762" s="310">
        <f t="shared" ca="1" si="337"/>
        <v>23</v>
      </c>
      <c r="Q762" s="304">
        <f t="shared" ca="1" si="338"/>
        <v>0</v>
      </c>
      <c r="R762" s="306">
        <f t="shared" ca="1" si="339"/>
        <v>0</v>
      </c>
      <c r="S762" s="307">
        <f t="shared" ca="1" si="340"/>
        <v>6.8519999999999914</v>
      </c>
      <c r="T762" s="304">
        <f t="shared" ca="1" si="320"/>
        <v>67.218119999999914</v>
      </c>
      <c r="U762" s="311">
        <f t="shared" ca="1" si="321"/>
        <v>0</v>
      </c>
      <c r="V762" s="306">
        <f t="shared" ca="1" si="322"/>
        <v>1.226156120986259</v>
      </c>
      <c r="W762" s="304">
        <f t="shared" ca="1" si="323"/>
        <v>54.984174791512118</v>
      </c>
      <c r="Y762" s="314" t="str">
        <f t="shared" ca="1" si="341"/>
        <v/>
      </c>
      <c r="Z762" s="315" t="str">
        <f t="shared" ca="1" si="342"/>
        <v/>
      </c>
      <c r="AA762" s="316" t="str">
        <f t="shared" ca="1" si="343"/>
        <v/>
      </c>
      <c r="AC762" s="310" t="e">
        <f t="shared" ca="1" si="344"/>
        <v>#N/A</v>
      </c>
      <c r="AD762" s="323" t="e">
        <f t="shared" ca="1" si="345"/>
        <v>#N/A</v>
      </c>
      <c r="AE762" s="324" t="e">
        <f t="shared" ca="1" si="324"/>
        <v>#N/A</v>
      </c>
      <c r="AG762" s="306">
        <f t="shared" ca="1" si="346"/>
        <v>1.7725784044172617</v>
      </c>
      <c r="AH762" s="304">
        <f t="shared" ca="1" si="347"/>
        <v>-8.0245118952173193</v>
      </c>
    </row>
    <row r="763" spans="1:34" x14ac:dyDescent="0.2">
      <c r="A763" s="347">
        <f t="shared" ca="1" si="325"/>
        <v>1E-4</v>
      </c>
      <c r="B763" s="304">
        <f t="shared" ca="1" si="326"/>
        <v>39.400500000000264</v>
      </c>
      <c r="D763" s="306">
        <f t="shared" ca="1" si="327"/>
        <v>-0.41154072646964318</v>
      </c>
      <c r="E763" s="307">
        <f t="shared" ca="1" si="328"/>
        <v>-1.7960160340162155</v>
      </c>
      <c r="F763" s="304">
        <f t="shared" ca="1" si="329"/>
        <v>1.8425632591546204</v>
      </c>
      <c r="G763" s="306">
        <f t="shared" ca="1" si="330"/>
        <v>6.8497964236909965</v>
      </c>
      <c r="H763" s="307">
        <f t="shared" ca="1" si="331"/>
        <v>-133.38792226488087</v>
      </c>
      <c r="I763" s="304">
        <f t="shared" ca="1" si="332"/>
        <v>133.56368337683679</v>
      </c>
      <c r="J763" s="306">
        <f t="shared" ca="1" si="333"/>
        <v>539.267207314762</v>
      </c>
      <c r="K763" s="307">
        <f t="shared" ca="1" si="334"/>
        <v>-9.4466096904768246</v>
      </c>
      <c r="L763" s="304">
        <f t="shared" ca="1" si="319"/>
        <v>539.34994142922335</v>
      </c>
      <c r="M763" s="306">
        <f t="shared" ca="1" si="335"/>
        <v>-1.519488946962275</v>
      </c>
      <c r="N763" s="304">
        <f t="shared" ca="1" si="336"/>
        <v>-87.060303677716149</v>
      </c>
      <c r="P763" s="310">
        <f t="shared" ca="1" si="337"/>
        <v>23</v>
      </c>
      <c r="Q763" s="304">
        <f t="shared" ca="1" si="338"/>
        <v>0</v>
      </c>
      <c r="R763" s="306">
        <f t="shared" ca="1" si="339"/>
        <v>0</v>
      </c>
      <c r="S763" s="307">
        <f t="shared" ca="1" si="340"/>
        <v>6.8519999999999914</v>
      </c>
      <c r="T763" s="304">
        <f t="shared" ca="1" si="320"/>
        <v>67.218119999999914</v>
      </c>
      <c r="U763" s="311">
        <f t="shared" ca="1" si="321"/>
        <v>0</v>
      </c>
      <c r="V763" s="306">
        <f t="shared" ca="1" si="322"/>
        <v>1.2261577565307864</v>
      </c>
      <c r="W763" s="304">
        <f t="shared" ca="1" si="323"/>
        <v>54.984394075155471</v>
      </c>
      <c r="Y763" s="314" t="str">
        <f t="shared" ca="1" si="341"/>
        <v/>
      </c>
      <c r="Z763" s="315" t="str">
        <f t="shared" ca="1" si="342"/>
        <v/>
      </c>
      <c r="AA763" s="316" t="str">
        <f t="shared" ca="1" si="343"/>
        <v/>
      </c>
      <c r="AC763" s="310" t="e">
        <f t="shared" ca="1" si="344"/>
        <v>#N/A</v>
      </c>
      <c r="AD763" s="323" t="e">
        <f t="shared" ca="1" si="345"/>
        <v>#N/A</v>
      </c>
      <c r="AE763" s="324" t="e">
        <f t="shared" ca="1" si="324"/>
        <v>#N/A</v>
      </c>
      <c r="AG763" s="306">
        <f t="shared" ca="1" si="346"/>
        <v>1.7725465907953506</v>
      </c>
      <c r="AH763" s="304">
        <f t="shared" ca="1" si="347"/>
        <v>-8.0245438983526256</v>
      </c>
    </row>
    <row r="764" spans="1:34" x14ac:dyDescent="0.2">
      <c r="A764" s="347">
        <f t="shared" ca="1" si="325"/>
        <v>1E-4</v>
      </c>
      <c r="B764" s="304">
        <f t="shared" ca="1" si="326"/>
        <v>39.400600000000267</v>
      </c>
      <c r="D764" s="306">
        <f t="shared" ca="1" si="327"/>
        <v>-0.41153934902144562</v>
      </c>
      <c r="E764" s="307">
        <f t="shared" ca="1" si="328"/>
        <v>-1.7959839182443229</v>
      </c>
      <c r="F764" s="304">
        <f t="shared" ca="1" si="329"/>
        <v>1.842531647051205</v>
      </c>
      <c r="G764" s="306">
        <f t="shared" ca="1" si="330"/>
        <v>6.8497552697560939</v>
      </c>
      <c r="H764" s="307">
        <f t="shared" ca="1" si="331"/>
        <v>-133.38810186327271</v>
      </c>
      <c r="I764" s="304">
        <f t="shared" ca="1" si="332"/>
        <v>133.56386062832402</v>
      </c>
      <c r="J764" s="306">
        <f t="shared" ca="1" si="333"/>
        <v>539.267207314762</v>
      </c>
      <c r="K764" s="307">
        <f t="shared" ca="1" si="334"/>
        <v>-9.4599484916832317</v>
      </c>
      <c r="L764" s="304">
        <f t="shared" ca="1" si="319"/>
        <v>539.35017522063322</v>
      </c>
      <c r="M764" s="306">
        <f t="shared" ca="1" si="335"/>
        <v>-1.519489323639464</v>
      </c>
      <c r="N764" s="304">
        <f t="shared" ca="1" si="336"/>
        <v>-87.060325259729311</v>
      </c>
      <c r="P764" s="310">
        <f t="shared" ca="1" si="337"/>
        <v>23</v>
      </c>
      <c r="Q764" s="304">
        <f t="shared" ca="1" si="338"/>
        <v>0</v>
      </c>
      <c r="R764" s="306">
        <f t="shared" ca="1" si="339"/>
        <v>0</v>
      </c>
      <c r="S764" s="307">
        <f t="shared" ca="1" si="340"/>
        <v>6.8519999999999914</v>
      </c>
      <c r="T764" s="304">
        <f t="shared" ca="1" si="320"/>
        <v>67.218119999999914</v>
      </c>
      <c r="U764" s="311">
        <f t="shared" ca="1" si="321"/>
        <v>0</v>
      </c>
      <c r="V764" s="306">
        <f t="shared" ca="1" si="322"/>
        <v>1.2261593920796992</v>
      </c>
      <c r="W764" s="304">
        <f t="shared" ca="1" si="323"/>
        <v>54.984613356959187</v>
      </c>
      <c r="Y764" s="314" t="str">
        <f t="shared" ca="1" si="341"/>
        <v/>
      </c>
      <c r="Z764" s="315" t="str">
        <f t="shared" ca="1" si="342"/>
        <v/>
      </c>
      <c r="AA764" s="316" t="str">
        <f t="shared" ca="1" si="343"/>
        <v/>
      </c>
      <c r="AC764" s="310" t="e">
        <f t="shared" ca="1" si="344"/>
        <v>#N/A</v>
      </c>
      <c r="AD764" s="323" t="e">
        <f t="shared" ca="1" si="345"/>
        <v>#N/A</v>
      </c>
      <c r="AE764" s="324" t="e">
        <f t="shared" ca="1" si="324"/>
        <v>#N/A</v>
      </c>
      <c r="AG764" s="306">
        <f t="shared" ca="1" si="346"/>
        <v>1.7725147774389072</v>
      </c>
      <c r="AH764" s="304">
        <f t="shared" ca="1" si="347"/>
        <v>-8.0245759012194302</v>
      </c>
    </row>
    <row r="765" spans="1:34" x14ac:dyDescent="0.2">
      <c r="A765" s="347">
        <f t="shared" ca="1" si="325"/>
        <v>1E-4</v>
      </c>
      <c r="B765" s="304">
        <f t="shared" ca="1" si="326"/>
        <v>39.400700000000271</v>
      </c>
      <c r="D765" s="306">
        <f t="shared" ca="1" si="327"/>
        <v>-0.41153797156149036</v>
      </c>
      <c r="E765" s="307">
        <f t="shared" ca="1" si="328"/>
        <v>-1.7959518027417989</v>
      </c>
      <c r="F765" s="304">
        <f t="shared" ca="1" si="329"/>
        <v>1.8425000352261769</v>
      </c>
      <c r="G765" s="306">
        <f t="shared" ca="1" si="330"/>
        <v>6.8497141159589381</v>
      </c>
      <c r="H765" s="307">
        <f t="shared" ca="1" si="331"/>
        <v>-133.38828145845298</v>
      </c>
      <c r="I765" s="304">
        <f t="shared" ca="1" si="332"/>
        <v>133.56403787662995</v>
      </c>
      <c r="J765" s="306">
        <f t="shared" ca="1" si="333"/>
        <v>539.267207314762</v>
      </c>
      <c r="K765" s="307">
        <f t="shared" ca="1" si="334"/>
        <v>-9.4732873108493187</v>
      </c>
      <c r="L765" s="304">
        <f t="shared" ca="1" si="319"/>
        <v>539.35040934214226</v>
      </c>
      <c r="M765" s="306">
        <f t="shared" ca="1" si="335"/>
        <v>-1.51948970031339</v>
      </c>
      <c r="N765" s="304">
        <f t="shared" ca="1" si="336"/>
        <v>-87.060346841555528</v>
      </c>
      <c r="P765" s="310">
        <f t="shared" ca="1" si="337"/>
        <v>23</v>
      </c>
      <c r="Q765" s="304">
        <f t="shared" ca="1" si="338"/>
        <v>0</v>
      </c>
      <c r="R765" s="306">
        <f t="shared" ca="1" si="339"/>
        <v>0</v>
      </c>
      <c r="S765" s="307">
        <f t="shared" ca="1" si="340"/>
        <v>6.8519999999999914</v>
      </c>
      <c r="T765" s="304">
        <f t="shared" ca="1" si="320"/>
        <v>67.218119999999914</v>
      </c>
      <c r="U765" s="311">
        <f t="shared" ca="1" si="321"/>
        <v>0</v>
      </c>
      <c r="V765" s="306">
        <f t="shared" ca="1" si="322"/>
        <v>1.2261610276329962</v>
      </c>
      <c r="W765" s="304">
        <f t="shared" ca="1" si="323"/>
        <v>54.984832636923215</v>
      </c>
      <c r="Y765" s="314" t="str">
        <f t="shared" ca="1" si="341"/>
        <v/>
      </c>
      <c r="Z765" s="315" t="str">
        <f t="shared" ca="1" si="342"/>
        <v/>
      </c>
      <c r="AA765" s="316" t="str">
        <f t="shared" ca="1" si="343"/>
        <v/>
      </c>
      <c r="AC765" s="310" t="e">
        <f t="shared" ca="1" si="344"/>
        <v>#N/A</v>
      </c>
      <c r="AD765" s="323" t="e">
        <f t="shared" ca="1" si="345"/>
        <v>#N/A</v>
      </c>
      <c r="AE765" s="324" t="e">
        <f t="shared" ca="1" si="324"/>
        <v>#N/A</v>
      </c>
      <c r="AG765" s="306">
        <f t="shared" ca="1" si="346"/>
        <v>1.7724829643479119</v>
      </c>
      <c r="AH765" s="304">
        <f t="shared" ca="1" si="347"/>
        <v>-8.0246079038177545</v>
      </c>
    </row>
    <row r="766" spans="1:34" x14ac:dyDescent="0.2">
      <c r="A766" s="347">
        <f t="shared" ca="1" si="325"/>
        <v>1E-4</v>
      </c>
      <c r="B766" s="304">
        <f t="shared" ca="1" si="326"/>
        <v>39.400800000000274</v>
      </c>
      <c r="D766" s="306">
        <f t="shared" ca="1" si="327"/>
        <v>-0.41153659408977949</v>
      </c>
      <c r="E766" s="307">
        <f t="shared" ca="1" si="328"/>
        <v>-1.7959196875086558</v>
      </c>
      <c r="F766" s="304">
        <f t="shared" ca="1" si="329"/>
        <v>1.8424684236795494</v>
      </c>
      <c r="G766" s="306">
        <f t="shared" ca="1" si="330"/>
        <v>6.8496729622995289</v>
      </c>
      <c r="H766" s="307">
        <f t="shared" ca="1" si="331"/>
        <v>-133.38846105042174</v>
      </c>
      <c r="I766" s="304">
        <f t="shared" ca="1" si="332"/>
        <v>133.56421512175459</v>
      </c>
      <c r="J766" s="306">
        <f t="shared" ca="1" si="333"/>
        <v>539.267207314762</v>
      </c>
      <c r="K766" s="307">
        <f t="shared" ca="1" si="334"/>
        <v>-9.4866261479747624</v>
      </c>
      <c r="L766" s="304">
        <f t="shared" ca="1" si="319"/>
        <v>539.35064379375126</v>
      </c>
      <c r="M766" s="306">
        <f t="shared" ca="1" si="335"/>
        <v>-1.5194900769840534</v>
      </c>
      <c r="N766" s="304">
        <f t="shared" ca="1" si="336"/>
        <v>-87.060368423194802</v>
      </c>
      <c r="P766" s="310">
        <f t="shared" ca="1" si="337"/>
        <v>23</v>
      </c>
      <c r="Q766" s="304">
        <f t="shared" ca="1" si="338"/>
        <v>0</v>
      </c>
      <c r="R766" s="306">
        <f t="shared" ca="1" si="339"/>
        <v>0</v>
      </c>
      <c r="S766" s="307">
        <f t="shared" ca="1" si="340"/>
        <v>6.8519999999999914</v>
      </c>
      <c r="T766" s="304">
        <f t="shared" ca="1" si="320"/>
        <v>67.218119999999914</v>
      </c>
      <c r="U766" s="311">
        <f t="shared" ca="1" si="321"/>
        <v>0</v>
      </c>
      <c r="V766" s="306">
        <f t="shared" ca="1" si="322"/>
        <v>1.2261626631906786</v>
      </c>
      <c r="W766" s="304">
        <f t="shared" ca="1" si="323"/>
        <v>54.985051915047542</v>
      </c>
      <c r="Y766" s="314" t="str">
        <f t="shared" ca="1" si="341"/>
        <v/>
      </c>
      <c r="Z766" s="315" t="str">
        <f t="shared" ca="1" si="342"/>
        <v/>
      </c>
      <c r="AA766" s="316" t="str">
        <f t="shared" ca="1" si="343"/>
        <v/>
      </c>
      <c r="AC766" s="310" t="e">
        <f t="shared" ca="1" si="344"/>
        <v>#N/A</v>
      </c>
      <c r="AD766" s="323" t="e">
        <f t="shared" ca="1" si="345"/>
        <v>#N/A</v>
      </c>
      <c r="AE766" s="324" t="e">
        <f t="shared" ca="1" si="324"/>
        <v>#N/A</v>
      </c>
      <c r="AG766" s="306">
        <f t="shared" ca="1" si="346"/>
        <v>1.7724511515223753</v>
      </c>
      <c r="AH766" s="304">
        <f t="shared" ca="1" si="347"/>
        <v>-8.0246399061475895</v>
      </c>
    </row>
    <row r="767" spans="1:34" x14ac:dyDescent="0.2">
      <c r="A767" s="347">
        <f t="shared" ca="1" si="325"/>
        <v>1E-4</v>
      </c>
      <c r="B767" s="304">
        <f t="shared" ca="1" si="326"/>
        <v>39.400900000000277</v>
      </c>
      <c r="D767" s="306">
        <f t="shared" ca="1" si="327"/>
        <v>-0.41153521660631159</v>
      </c>
      <c r="E767" s="307">
        <f t="shared" ca="1" si="328"/>
        <v>-1.7958875725448937</v>
      </c>
      <c r="F767" s="304">
        <f t="shared" ca="1" si="329"/>
        <v>1.8424368124113226</v>
      </c>
      <c r="G767" s="306">
        <f t="shared" ca="1" si="330"/>
        <v>6.8496318087778683</v>
      </c>
      <c r="H767" s="307">
        <f t="shared" ca="1" si="331"/>
        <v>-133.38864063917899</v>
      </c>
      <c r="I767" s="304">
        <f t="shared" ca="1" si="332"/>
        <v>133.56439236369795</v>
      </c>
      <c r="J767" s="306">
        <f t="shared" ca="1" si="333"/>
        <v>539.267207314762</v>
      </c>
      <c r="K767" s="307">
        <f t="shared" ca="1" si="334"/>
        <v>-9.4999650030592431</v>
      </c>
      <c r="L767" s="304">
        <f t="shared" ca="1" si="319"/>
        <v>539.35087857546114</v>
      </c>
      <c r="M767" s="306">
        <f t="shared" ca="1" si="335"/>
        <v>-1.5194904536514537</v>
      </c>
      <c r="N767" s="304">
        <f t="shared" ca="1" si="336"/>
        <v>-87.060390004647132</v>
      </c>
      <c r="P767" s="310">
        <f t="shared" ca="1" si="337"/>
        <v>23</v>
      </c>
      <c r="Q767" s="304">
        <f t="shared" ca="1" si="338"/>
        <v>0</v>
      </c>
      <c r="R767" s="306">
        <f t="shared" ca="1" si="339"/>
        <v>0</v>
      </c>
      <c r="S767" s="307">
        <f t="shared" ca="1" si="340"/>
        <v>6.8519999999999914</v>
      </c>
      <c r="T767" s="304">
        <f t="shared" ca="1" si="320"/>
        <v>67.218119999999914</v>
      </c>
      <c r="U767" s="311">
        <f t="shared" ca="1" si="321"/>
        <v>0</v>
      </c>
      <c r="V767" s="306">
        <f t="shared" ca="1" si="322"/>
        <v>1.226164298752745</v>
      </c>
      <c r="W767" s="304">
        <f t="shared" ca="1" si="323"/>
        <v>54.98527119133216</v>
      </c>
      <c r="Y767" s="314" t="str">
        <f t="shared" ca="1" si="341"/>
        <v/>
      </c>
      <c r="Z767" s="315" t="str">
        <f t="shared" ca="1" si="342"/>
        <v/>
      </c>
      <c r="AA767" s="316" t="str">
        <f t="shared" ca="1" si="343"/>
        <v/>
      </c>
      <c r="AC767" s="310" t="e">
        <f t="shared" ca="1" si="344"/>
        <v>#N/A</v>
      </c>
      <c r="AD767" s="323" t="e">
        <f t="shared" ca="1" si="345"/>
        <v>#N/A</v>
      </c>
      <c r="AE767" s="324" t="e">
        <f t="shared" ca="1" si="324"/>
        <v>#N/A</v>
      </c>
      <c r="AG767" s="306">
        <f t="shared" ca="1" si="346"/>
        <v>1.7724193389622975</v>
      </c>
      <c r="AH767" s="304">
        <f t="shared" ca="1" si="347"/>
        <v>-8.0246719082089335</v>
      </c>
    </row>
    <row r="768" spans="1:34" x14ac:dyDescent="0.2">
      <c r="A768" s="347">
        <f t="shared" ca="1" si="325"/>
        <v>1E-4</v>
      </c>
      <c r="B768" s="304">
        <f t="shared" ca="1" si="326"/>
        <v>39.40100000000028</v>
      </c>
      <c r="D768" s="306">
        <f t="shared" ca="1" si="327"/>
        <v>-0.41153383911108915</v>
      </c>
      <c r="E768" s="307">
        <f t="shared" ca="1" si="328"/>
        <v>-1.7958554578505126</v>
      </c>
      <c r="F768" s="304">
        <f t="shared" ca="1" si="329"/>
        <v>1.8424052014214967</v>
      </c>
      <c r="G768" s="306">
        <f t="shared" ca="1" si="330"/>
        <v>6.849590655393957</v>
      </c>
      <c r="H768" s="307">
        <f t="shared" ca="1" si="331"/>
        <v>-133.38882022472478</v>
      </c>
      <c r="I768" s="304">
        <f t="shared" ca="1" si="332"/>
        <v>133.5645696024601</v>
      </c>
      <c r="J768" s="306">
        <f t="shared" ca="1" si="333"/>
        <v>539.267207314762</v>
      </c>
      <c r="K768" s="307">
        <f t="shared" ca="1" si="334"/>
        <v>-9.5133038761024391</v>
      </c>
      <c r="L768" s="304">
        <f t="shared" ca="1" si="319"/>
        <v>539.35111368727291</v>
      </c>
      <c r="M768" s="306">
        <f t="shared" ca="1" si="335"/>
        <v>-1.5194908303155916</v>
      </c>
      <c r="N768" s="304">
        <f t="shared" ca="1" si="336"/>
        <v>-87.060411585912519</v>
      </c>
      <c r="P768" s="310">
        <f t="shared" ca="1" si="337"/>
        <v>23</v>
      </c>
      <c r="Q768" s="304">
        <f t="shared" ca="1" si="338"/>
        <v>0</v>
      </c>
      <c r="R768" s="306">
        <f t="shared" ca="1" si="339"/>
        <v>0</v>
      </c>
      <c r="S768" s="307">
        <f t="shared" ca="1" si="340"/>
        <v>6.8519999999999914</v>
      </c>
      <c r="T768" s="304">
        <f t="shared" ca="1" si="320"/>
        <v>67.218119999999914</v>
      </c>
      <c r="U768" s="311">
        <f t="shared" ca="1" si="321"/>
        <v>0</v>
      </c>
      <c r="V768" s="306">
        <f t="shared" ca="1" si="322"/>
        <v>1.2261659343191964</v>
      </c>
      <c r="W768" s="304">
        <f t="shared" ca="1" si="323"/>
        <v>54.985490465777104</v>
      </c>
      <c r="Y768" s="314" t="str">
        <f t="shared" ca="1" si="341"/>
        <v/>
      </c>
      <c r="Z768" s="315" t="str">
        <f t="shared" ca="1" si="342"/>
        <v/>
      </c>
      <c r="AA768" s="316" t="str">
        <f t="shared" ca="1" si="343"/>
        <v/>
      </c>
      <c r="AC768" s="310" t="e">
        <f t="shared" ca="1" si="344"/>
        <v>#N/A</v>
      </c>
      <c r="AD768" s="323" t="e">
        <f t="shared" ca="1" si="345"/>
        <v>#N/A</v>
      </c>
      <c r="AE768" s="324" t="e">
        <f t="shared" ca="1" si="324"/>
        <v>#N/A</v>
      </c>
      <c r="AG768" s="306">
        <f t="shared" ca="1" si="346"/>
        <v>1.7723875266676803</v>
      </c>
      <c r="AH768" s="304">
        <f t="shared" ca="1" si="347"/>
        <v>-8.0247039100017847</v>
      </c>
    </row>
    <row r="769" spans="1:34" x14ac:dyDescent="0.2">
      <c r="A769" s="347">
        <f t="shared" ca="1" si="325"/>
        <v>1E-4</v>
      </c>
      <c r="B769" s="304">
        <f t="shared" ca="1" si="326"/>
        <v>39.401100000000284</v>
      </c>
      <c r="D769" s="306">
        <f t="shared" ca="1" si="327"/>
        <v>-0.41153246160410933</v>
      </c>
      <c r="E769" s="307">
        <f t="shared" ca="1" si="328"/>
        <v>-1.7958233434255106</v>
      </c>
      <c r="F769" s="304">
        <f t="shared" ca="1" si="329"/>
        <v>1.8423735907100702</v>
      </c>
      <c r="G769" s="306">
        <f t="shared" ca="1" si="330"/>
        <v>6.8495495021477968</v>
      </c>
      <c r="H769" s="307">
        <f t="shared" ca="1" si="331"/>
        <v>-133.38899980705912</v>
      </c>
      <c r="I769" s="304">
        <f t="shared" ca="1" si="332"/>
        <v>133.56474683804103</v>
      </c>
      <c r="J769" s="306">
        <f t="shared" ca="1" si="333"/>
        <v>539.267207314762</v>
      </c>
      <c r="K769" s="307">
        <f t="shared" ca="1" si="334"/>
        <v>-9.526642767104029</v>
      </c>
      <c r="L769" s="304">
        <f t="shared" ca="1" si="319"/>
        <v>539.35134912918738</v>
      </c>
      <c r="M769" s="306">
        <f t="shared" ca="1" si="335"/>
        <v>-1.5194912069764668</v>
      </c>
      <c r="N769" s="304">
        <f t="shared" ca="1" si="336"/>
        <v>-87.060433166990975</v>
      </c>
      <c r="P769" s="310">
        <f t="shared" ca="1" si="337"/>
        <v>23</v>
      </c>
      <c r="Q769" s="304">
        <f t="shared" ca="1" si="338"/>
        <v>0</v>
      </c>
      <c r="R769" s="306">
        <f t="shared" ca="1" si="339"/>
        <v>0</v>
      </c>
      <c r="S769" s="307">
        <f t="shared" ca="1" si="340"/>
        <v>6.8519999999999914</v>
      </c>
      <c r="T769" s="304">
        <f t="shared" ca="1" si="320"/>
        <v>67.218119999999914</v>
      </c>
      <c r="U769" s="311">
        <f t="shared" ca="1" si="321"/>
        <v>0</v>
      </c>
      <c r="V769" s="306">
        <f t="shared" ca="1" si="322"/>
        <v>1.2261675698900327</v>
      </c>
      <c r="W769" s="304">
        <f t="shared" ca="1" si="323"/>
        <v>54.985709738382376</v>
      </c>
      <c r="Y769" s="314" t="str">
        <f t="shared" ca="1" si="341"/>
        <v/>
      </c>
      <c r="Z769" s="315" t="str">
        <f t="shared" ca="1" si="342"/>
        <v/>
      </c>
      <c r="AA769" s="316" t="str">
        <f t="shared" ca="1" si="343"/>
        <v/>
      </c>
      <c r="AC769" s="310" t="e">
        <f t="shared" ca="1" si="344"/>
        <v>#N/A</v>
      </c>
      <c r="AD769" s="323" t="e">
        <f t="shared" ca="1" si="345"/>
        <v>#N/A</v>
      </c>
      <c r="AE769" s="324" t="e">
        <f t="shared" ca="1" si="324"/>
        <v>#N/A</v>
      </c>
      <c r="AG769" s="306">
        <f t="shared" ca="1" si="346"/>
        <v>1.7723557146385218</v>
      </c>
      <c r="AH769" s="304">
        <f t="shared" ca="1" si="347"/>
        <v>-8.0247359115261485</v>
      </c>
    </row>
    <row r="770" spans="1:34" x14ac:dyDescent="0.2">
      <c r="A770" s="347">
        <f t="shared" ca="1" si="325"/>
        <v>1E-4</v>
      </c>
      <c r="B770" s="304">
        <f t="shared" ca="1" si="326"/>
        <v>39.401200000000287</v>
      </c>
      <c r="D770" s="306">
        <f t="shared" ca="1" si="327"/>
        <v>-0.4115310840853747</v>
      </c>
      <c r="E770" s="307">
        <f t="shared" ca="1" si="328"/>
        <v>-1.7957912292698843</v>
      </c>
      <c r="F770" s="304">
        <f t="shared" ca="1" si="329"/>
        <v>1.8423419802770402</v>
      </c>
      <c r="G770" s="306">
        <f t="shared" ca="1" si="330"/>
        <v>6.8495083490393887</v>
      </c>
      <c r="H770" s="307">
        <f t="shared" ca="1" si="331"/>
        <v>-133.38917938618204</v>
      </c>
      <c r="I770" s="304">
        <f t="shared" ca="1" si="332"/>
        <v>133.56492407044078</v>
      </c>
      <c r="J770" s="306">
        <f t="shared" ca="1" si="333"/>
        <v>539.267207314762</v>
      </c>
      <c r="K770" s="307">
        <f t="shared" ca="1" si="334"/>
        <v>-9.5399816760636913</v>
      </c>
      <c r="L770" s="304">
        <f t="shared" ca="1" si="319"/>
        <v>539.35158490120534</v>
      </c>
      <c r="M770" s="306">
        <f t="shared" ca="1" si="335"/>
        <v>-1.5194915836340792</v>
      </c>
      <c r="N770" s="304">
        <f t="shared" ca="1" si="336"/>
        <v>-87.060454747882488</v>
      </c>
      <c r="P770" s="310">
        <f t="shared" ca="1" si="337"/>
        <v>23</v>
      </c>
      <c r="Q770" s="304">
        <f t="shared" ca="1" si="338"/>
        <v>0</v>
      </c>
      <c r="R770" s="306">
        <f t="shared" ca="1" si="339"/>
        <v>0</v>
      </c>
      <c r="S770" s="307">
        <f t="shared" ca="1" si="340"/>
        <v>6.8519999999999914</v>
      </c>
      <c r="T770" s="304">
        <f t="shared" ca="1" si="320"/>
        <v>67.218119999999914</v>
      </c>
      <c r="U770" s="311">
        <f t="shared" ca="1" si="321"/>
        <v>0</v>
      </c>
      <c r="V770" s="306">
        <f t="shared" ca="1" si="322"/>
        <v>1.2261692054652538</v>
      </c>
      <c r="W770" s="304">
        <f t="shared" ca="1" si="323"/>
        <v>54.985929009147959</v>
      </c>
      <c r="Y770" s="314" t="str">
        <f t="shared" ca="1" si="341"/>
        <v/>
      </c>
      <c r="Z770" s="315" t="str">
        <f t="shared" ca="1" si="342"/>
        <v/>
      </c>
      <c r="AA770" s="316" t="str">
        <f t="shared" ca="1" si="343"/>
        <v/>
      </c>
      <c r="AC770" s="310" t="e">
        <f t="shared" ca="1" si="344"/>
        <v>#N/A</v>
      </c>
      <c r="AD770" s="323" t="e">
        <f t="shared" ca="1" si="345"/>
        <v>#N/A</v>
      </c>
      <c r="AE770" s="324" t="e">
        <f t="shared" ca="1" si="324"/>
        <v>#N/A</v>
      </c>
      <c r="AG770" s="306">
        <f t="shared" ca="1" si="346"/>
        <v>1.7723239028748168</v>
      </c>
      <c r="AH770" s="304">
        <f t="shared" ca="1" si="347"/>
        <v>-8.0247679127820266</v>
      </c>
    </row>
    <row r="771" spans="1:34" x14ac:dyDescent="0.2">
      <c r="A771" s="347">
        <f t="shared" ca="1" si="325"/>
        <v>1E-4</v>
      </c>
      <c r="B771" s="304">
        <f t="shared" ca="1" si="326"/>
        <v>39.40130000000029</v>
      </c>
      <c r="D771" s="306">
        <f t="shared" ca="1" si="327"/>
        <v>-0.41152970655488563</v>
      </c>
      <c r="E771" s="307">
        <f t="shared" ca="1" si="328"/>
        <v>-1.795759115383639</v>
      </c>
      <c r="F771" s="304">
        <f t="shared" ca="1" si="329"/>
        <v>1.8423103701224124</v>
      </c>
      <c r="G771" s="306">
        <f t="shared" ca="1" si="330"/>
        <v>6.8494671960687334</v>
      </c>
      <c r="H771" s="307">
        <f t="shared" ca="1" si="331"/>
        <v>-133.38935896209358</v>
      </c>
      <c r="I771" s="304">
        <f t="shared" ca="1" si="332"/>
        <v>133.5651012996594</v>
      </c>
      <c r="J771" s="306">
        <f t="shared" ca="1" si="333"/>
        <v>539.267207314762</v>
      </c>
      <c r="K771" s="307">
        <f t="shared" ca="1" si="334"/>
        <v>-9.5533206029811044</v>
      </c>
      <c r="L771" s="304">
        <f t="shared" ca="1" si="319"/>
        <v>539.35182100332793</v>
      </c>
      <c r="M771" s="306">
        <f t="shared" ca="1" si="335"/>
        <v>-1.5194919602884289</v>
      </c>
      <c r="N771" s="304">
        <f t="shared" ca="1" si="336"/>
        <v>-87.060476328587058</v>
      </c>
      <c r="P771" s="310">
        <f t="shared" ca="1" si="337"/>
        <v>23</v>
      </c>
      <c r="Q771" s="304">
        <f t="shared" ca="1" si="338"/>
        <v>0</v>
      </c>
      <c r="R771" s="306">
        <f t="shared" ca="1" si="339"/>
        <v>0</v>
      </c>
      <c r="S771" s="307">
        <f t="shared" ca="1" si="340"/>
        <v>6.8519999999999914</v>
      </c>
      <c r="T771" s="304">
        <f t="shared" ca="1" si="320"/>
        <v>67.218119999999914</v>
      </c>
      <c r="U771" s="311">
        <f t="shared" ca="1" si="321"/>
        <v>0</v>
      </c>
      <c r="V771" s="306">
        <f t="shared" ca="1" si="322"/>
        <v>1.2261708410448591</v>
      </c>
      <c r="W771" s="304">
        <f t="shared" ca="1" si="323"/>
        <v>54.986148278073856</v>
      </c>
      <c r="Y771" s="314" t="str">
        <f t="shared" ca="1" si="341"/>
        <v/>
      </c>
      <c r="Z771" s="315" t="str">
        <f t="shared" ca="1" si="342"/>
        <v/>
      </c>
      <c r="AA771" s="316" t="str">
        <f t="shared" ca="1" si="343"/>
        <v/>
      </c>
      <c r="AC771" s="310" t="e">
        <f t="shared" ca="1" si="344"/>
        <v>#N/A</v>
      </c>
      <c r="AD771" s="323" t="e">
        <f t="shared" ca="1" si="345"/>
        <v>#N/A</v>
      </c>
      <c r="AE771" s="324" t="e">
        <f t="shared" ca="1" si="324"/>
        <v>#N/A</v>
      </c>
      <c r="AG771" s="306">
        <f t="shared" ca="1" si="346"/>
        <v>1.7722920913765705</v>
      </c>
      <c r="AH771" s="304">
        <f t="shared" ca="1" si="347"/>
        <v>-8.0247999137694137</v>
      </c>
    </row>
    <row r="772" spans="1:34" x14ac:dyDescent="0.2">
      <c r="A772" s="347">
        <f t="shared" ca="1" si="325"/>
        <v>1E-4</v>
      </c>
      <c r="B772" s="304">
        <f t="shared" ca="1" si="326"/>
        <v>39.401400000000294</v>
      </c>
      <c r="D772" s="306">
        <f t="shared" ca="1" si="327"/>
        <v>-0.41152832901264286</v>
      </c>
      <c r="E772" s="307">
        <f t="shared" ca="1" si="328"/>
        <v>-1.795727001766771</v>
      </c>
      <c r="F772" s="304">
        <f t="shared" ca="1" si="329"/>
        <v>1.8422787602461834</v>
      </c>
      <c r="G772" s="306">
        <f t="shared" ca="1" si="330"/>
        <v>6.849426043235832</v>
      </c>
      <c r="H772" s="307">
        <f t="shared" ca="1" si="331"/>
        <v>-133.38953853479376</v>
      </c>
      <c r="I772" s="304">
        <f t="shared" ca="1" si="332"/>
        <v>133.5652785256969</v>
      </c>
      <c r="J772" s="306">
        <f t="shared" ca="1" si="333"/>
        <v>539.267207314762</v>
      </c>
      <c r="K772" s="307">
        <f t="shared" ca="1" si="334"/>
        <v>-9.5666595478559486</v>
      </c>
      <c r="L772" s="304">
        <f t="shared" ref="L772:L835" ca="1" si="348">SQRT(pos_x^2+pos_z^2)</f>
        <v>539.35205743555582</v>
      </c>
      <c r="M772" s="306">
        <f t="shared" ca="1" si="335"/>
        <v>-1.5194923369395164</v>
      </c>
      <c r="N772" s="304">
        <f t="shared" ca="1" si="336"/>
        <v>-87.060497909104726</v>
      </c>
      <c r="P772" s="310">
        <f t="shared" ca="1" si="337"/>
        <v>23</v>
      </c>
      <c r="Q772" s="304">
        <f t="shared" ca="1" si="338"/>
        <v>0</v>
      </c>
      <c r="R772" s="306">
        <f t="shared" ca="1" si="339"/>
        <v>0</v>
      </c>
      <c r="S772" s="307">
        <f t="shared" ca="1" si="340"/>
        <v>6.8519999999999914</v>
      </c>
      <c r="T772" s="304">
        <f t="shared" ref="T772:T835" ca="1" si="349">m*g</f>
        <v>67.218119999999914</v>
      </c>
      <c r="U772" s="311">
        <f t="shared" ref="U772:U835" ca="1" si="350">IF(pos_xz&lt;L_rampe,Poids*COS(Beta),0)</f>
        <v>0</v>
      </c>
      <c r="V772" s="306">
        <f t="shared" ref="V772:V835" ca="1" si="351">Rho_moyen*(20000-Alt_rampe-pos_z)/(20000+Alt_rampe+pos_z)</f>
        <v>1.2261724766288489</v>
      </c>
      <c r="W772" s="304">
        <f t="shared" ref="W772:W835" ca="1" si="352">1/2*Rho*Sref*Cx*vit_xz^2</f>
        <v>54.986367545160078</v>
      </c>
      <c r="Y772" s="314" t="str">
        <f t="shared" ca="1" si="341"/>
        <v/>
      </c>
      <c r="Z772" s="315" t="str">
        <f t="shared" ca="1" si="342"/>
        <v/>
      </c>
      <c r="AA772" s="316" t="str">
        <f t="shared" ca="1" si="343"/>
        <v/>
      </c>
      <c r="AC772" s="310" t="e">
        <f t="shared" ca="1" si="344"/>
        <v>#N/A</v>
      </c>
      <c r="AD772" s="323" t="e">
        <f t="shared" ca="1" si="345"/>
        <v>#N/A</v>
      </c>
      <c r="AE772" s="324" t="e">
        <f t="shared" ref="AE772:AE835" ca="1" si="353">IF(t&lt;T_para, pos_z, NA())</f>
        <v>#N/A</v>
      </c>
      <c r="AG772" s="306">
        <f t="shared" ca="1" si="346"/>
        <v>1.7722602801437812</v>
      </c>
      <c r="AH772" s="304">
        <f t="shared" ca="1" si="347"/>
        <v>-8.0248319144883133</v>
      </c>
    </row>
    <row r="773" spans="1:34" x14ac:dyDescent="0.2">
      <c r="A773" s="347">
        <f t="shared" ref="A773:A836" ca="1" si="354">IF(B772+0.01&lt;=T_ini+ROUNDUP(Temps_fin_propu,0), 0.01, IF(K772&gt;0, 0.1, 0.0001))</f>
        <v>1E-4</v>
      </c>
      <c r="B773" s="304">
        <f t="shared" ref="B773:B836" ca="1" si="355">B772+pas</f>
        <v>39.401500000000297</v>
      </c>
      <c r="D773" s="306">
        <f t="shared" ref="D773:D836" ca="1" si="356">IF(AND(L772&lt;L_rampe,Poussee&lt;Poids*SIN(M772)),0,(-W772+Poussee)/m*COS(M772)-U772/m*SIN(M772))</f>
        <v>-0.41152695145864349</v>
      </c>
      <c r="E773" s="307">
        <f t="shared" ref="E773:E836" ca="1" si="357">IF(AND(L772&lt;L_rampe,Poussee&lt;Poids*SIN(M772)),0,(-W772+Poussee)/m*SIN(M772)+U772/m*COS(M772)-Poids/m)</f>
        <v>-1.7956948884192805</v>
      </c>
      <c r="F773" s="304">
        <f t="shared" ref="F773:F836" ca="1" si="358">SQRT(acc_x^2+acc_z^2)</f>
        <v>1.8422471506483533</v>
      </c>
      <c r="G773" s="306">
        <f t="shared" ref="G773:G836" ca="1" si="359">G772+acc_x*pas</f>
        <v>6.8493848905406862</v>
      </c>
      <c r="H773" s="307">
        <f t="shared" ref="H773:H836" ca="1" si="360">H772+acc_z*pas</f>
        <v>-133.38971810428259</v>
      </c>
      <c r="I773" s="304">
        <f t="shared" ref="I773:I836" ca="1" si="361">SQRT(vit_x^2+vit_z^2)</f>
        <v>133.56545574855329</v>
      </c>
      <c r="J773" s="306">
        <f t="shared" ref="J773:J836" ca="1" si="362">J772+0.5*(vit_x+G772)*pas*(K772&gt;=0)</f>
        <v>539.267207314762</v>
      </c>
      <c r="K773" s="307">
        <f t="shared" ref="K773:K836" ca="1" si="363">K772+0.5*(vit_z+H772)*pas</f>
        <v>-9.5799985106879024</v>
      </c>
      <c r="L773" s="304">
        <f t="shared" ca="1" si="348"/>
        <v>539.35229419788993</v>
      </c>
      <c r="M773" s="306">
        <f t="shared" ref="M773:M836" ca="1" si="364">IF(AND(L772&gt;L_rampe,G773&gt;0),ATAN2(G773,H773),$M$4)</f>
        <v>-1.5194927135873411</v>
      </c>
      <c r="N773" s="304">
        <f t="shared" ref="N773:N836" ca="1" si="365">DEGREES(Beta)</f>
        <v>-87.060519489435436</v>
      </c>
      <c r="P773" s="310">
        <f t="shared" ref="P773:P836" ca="1" si="366">MATCH(t-pas/2-T_ini,CdP_t)</f>
        <v>23</v>
      </c>
      <c r="Q773" s="304">
        <f t="shared" ref="Q773:Q836" ca="1" si="367">(INDEX(CdP,2,i_P+1)-INDEX(CdP,2,i_P+0))/(INDEX(CdP,1,i_P+1)-INDEX(CdP,1,i_P+0))*(t-pas/2-T_ini-INDEX(CdP,1,i_P+0))+INDEX(CdP,2,i_P+0)</f>
        <v>0</v>
      </c>
      <c r="R773" s="306">
        <f t="shared" ref="R773:R836" ca="1" si="368">Poussee/(g*ISP)</f>
        <v>0</v>
      </c>
      <c r="S773" s="307">
        <f t="shared" ref="S773:S836" ca="1" si="369">S772-Débit*pas</f>
        <v>6.8519999999999914</v>
      </c>
      <c r="T773" s="304">
        <f t="shared" ca="1" si="349"/>
        <v>67.218119999999914</v>
      </c>
      <c r="U773" s="311">
        <f t="shared" ca="1" si="350"/>
        <v>0</v>
      </c>
      <c r="V773" s="306">
        <f t="shared" ca="1" si="351"/>
        <v>1.2261741122172243</v>
      </c>
      <c r="W773" s="304">
        <f t="shared" ca="1" si="352"/>
        <v>54.986586810406678</v>
      </c>
      <c r="Y773" s="314" t="str">
        <f t="shared" ref="Y773:Y836" ca="1" si="370">IF(AND(pos_z&lt;=0,K772&gt;0),"Impact balistique","") &amp; IF(AND(H774&lt;0,vit_z&gt;=0),"Apogée","") &amp; IF(AND(Poussee=0,Q772&gt;0),"Fin de propulsion","") &amp; IF(AND(L774&gt;L_rampe,pos_xz&lt;=L_rampe),"Sortie de rampe","")</f>
        <v/>
      </c>
      <c r="Z773" s="315" t="str">
        <f t="shared" ref="Z773:Z836" ca="1" si="371">IF(ABS(t-T_para)&lt;pas/2,"Para","")</f>
        <v/>
      </c>
      <c r="AA773" s="316" t="str">
        <f t="shared" ref="AA773:AA836" ca="1" si="372">IF(ABS(t-T_satellite)&lt;pas/2,"Satellite","")</f>
        <v/>
      </c>
      <c r="AC773" s="310" t="e">
        <f t="shared" ref="AC773:AC836" ca="1" si="373">IF(ABS(t-ROUND(t,0))&lt;0.001,t,NA())</f>
        <v>#N/A</v>
      </c>
      <c r="AD773" s="323" t="e">
        <f t="shared" ref="AD773:AD836" ca="1" si="374">IF(ABS(t-ROUND(t,0))&lt;0.001,pos_x,NA())</f>
        <v>#N/A</v>
      </c>
      <c r="AE773" s="324" t="e">
        <f t="shared" ca="1" si="353"/>
        <v>#N/A</v>
      </c>
      <c r="AG773" s="306">
        <f t="shared" ref="AG773:AG836" ca="1" si="375">IF(AND(L772&lt;L_rampe,Poussee&lt;Poids*SIN(M772)),0,(-W772+Poussee)/m-Poids*SIN(M772)/m)</f>
        <v>1.7722284691764454</v>
      </c>
      <c r="AH773" s="304">
        <f t="shared" ref="AH773:AH836" ca="1" si="376">IF(AND(L772&lt;L_rampe,Poussee&lt;Poids*SIN(M772)), g*SIN(M772), (-W772+Poussee)/m)</f>
        <v>-8.0248639149387255</v>
      </c>
    </row>
    <row r="774" spans="1:34" x14ac:dyDescent="0.2">
      <c r="A774" s="347">
        <f t="shared" ca="1" si="354"/>
        <v>1E-4</v>
      </c>
      <c r="B774" s="304">
        <f t="shared" ca="1" si="355"/>
        <v>39.4016000000003</v>
      </c>
      <c r="D774" s="306">
        <f t="shared" ca="1" si="356"/>
        <v>-0.41152557389289202</v>
      </c>
      <c r="E774" s="307">
        <f t="shared" ca="1" si="357"/>
        <v>-1.795662775341162</v>
      </c>
      <c r="F774" s="304">
        <f t="shared" ca="1" si="358"/>
        <v>1.8422155413289181</v>
      </c>
      <c r="G774" s="306">
        <f t="shared" ca="1" si="359"/>
        <v>6.8493437379832969</v>
      </c>
      <c r="H774" s="307">
        <f t="shared" ca="1" si="360"/>
        <v>-133.38989767056012</v>
      </c>
      <c r="I774" s="304">
        <f t="shared" ca="1" si="361"/>
        <v>133.56563296822858</v>
      </c>
      <c r="J774" s="306">
        <f t="shared" ca="1" si="362"/>
        <v>539.267207314762</v>
      </c>
      <c r="K774" s="307">
        <f t="shared" ca="1" si="363"/>
        <v>-9.5933374914766443</v>
      </c>
      <c r="L774" s="304">
        <f t="shared" ca="1" si="348"/>
        <v>539.3525312903314</v>
      </c>
      <c r="M774" s="306">
        <f t="shared" ca="1" si="364"/>
        <v>-1.5194930902319033</v>
      </c>
      <c r="N774" s="304">
        <f t="shared" ca="1" si="365"/>
        <v>-87.06054106957923</v>
      </c>
      <c r="P774" s="310">
        <f t="shared" ca="1" si="366"/>
        <v>23</v>
      </c>
      <c r="Q774" s="304">
        <f t="shared" ca="1" si="367"/>
        <v>0</v>
      </c>
      <c r="R774" s="306">
        <f t="shared" ca="1" si="368"/>
        <v>0</v>
      </c>
      <c r="S774" s="307">
        <f t="shared" ca="1" si="369"/>
        <v>6.8519999999999914</v>
      </c>
      <c r="T774" s="304">
        <f t="shared" ca="1" si="349"/>
        <v>67.218119999999914</v>
      </c>
      <c r="U774" s="311">
        <f t="shared" ca="1" si="350"/>
        <v>0</v>
      </c>
      <c r="V774" s="306">
        <f t="shared" ca="1" si="351"/>
        <v>1.2261757478099835</v>
      </c>
      <c r="W774" s="304">
        <f t="shared" ca="1" si="352"/>
        <v>54.986806073813526</v>
      </c>
      <c r="Y774" s="314" t="str">
        <f t="shared" ca="1" si="370"/>
        <v/>
      </c>
      <c r="Z774" s="315" t="str">
        <f t="shared" ca="1" si="371"/>
        <v/>
      </c>
      <c r="AA774" s="316" t="str">
        <f t="shared" ca="1" si="372"/>
        <v/>
      </c>
      <c r="AC774" s="310" t="e">
        <f t="shared" ca="1" si="373"/>
        <v>#N/A</v>
      </c>
      <c r="AD774" s="323" t="e">
        <f t="shared" ca="1" si="374"/>
        <v>#N/A</v>
      </c>
      <c r="AE774" s="324" t="e">
        <f t="shared" ca="1" si="353"/>
        <v>#N/A</v>
      </c>
      <c r="AG774" s="306">
        <f t="shared" ca="1" si="375"/>
        <v>1.7721966584745612</v>
      </c>
      <c r="AH774" s="304">
        <f t="shared" ca="1" si="376"/>
        <v>-8.0248959151206574</v>
      </c>
    </row>
    <row r="775" spans="1:34" x14ac:dyDescent="0.2">
      <c r="A775" s="347">
        <f t="shared" ca="1" si="354"/>
        <v>1E-4</v>
      </c>
      <c r="B775" s="304">
        <f t="shared" ca="1" si="355"/>
        <v>39.401700000000304</v>
      </c>
      <c r="D775" s="306">
        <f t="shared" ca="1" si="356"/>
        <v>-0.41152419631538645</v>
      </c>
      <c r="E775" s="307">
        <f t="shared" ca="1" si="357"/>
        <v>-1.7956306625324299</v>
      </c>
      <c r="F775" s="304">
        <f t="shared" ca="1" si="358"/>
        <v>1.8421839322878912</v>
      </c>
      <c r="G775" s="306">
        <f t="shared" ca="1" si="359"/>
        <v>6.8493025855636658</v>
      </c>
      <c r="H775" s="307">
        <f t="shared" ca="1" si="360"/>
        <v>-133.39007723362636</v>
      </c>
      <c r="I775" s="304">
        <f t="shared" ca="1" si="361"/>
        <v>133.56581018472286</v>
      </c>
      <c r="J775" s="306">
        <f t="shared" ca="1" si="362"/>
        <v>539.267207314762</v>
      </c>
      <c r="K775" s="307">
        <f t="shared" ca="1" si="363"/>
        <v>-9.6066764902218544</v>
      </c>
      <c r="L775" s="304">
        <f t="shared" ca="1" si="348"/>
        <v>539.35276871288079</v>
      </c>
      <c r="M775" s="306">
        <f t="shared" ca="1" si="364"/>
        <v>-1.5194934668732032</v>
      </c>
      <c r="N775" s="304">
        <f t="shared" ca="1" si="365"/>
        <v>-87.060562649536109</v>
      </c>
      <c r="P775" s="310">
        <f t="shared" ca="1" si="366"/>
        <v>23</v>
      </c>
      <c r="Q775" s="304">
        <f t="shared" ca="1" si="367"/>
        <v>0</v>
      </c>
      <c r="R775" s="306">
        <f t="shared" ca="1" si="368"/>
        <v>0</v>
      </c>
      <c r="S775" s="307">
        <f t="shared" ca="1" si="369"/>
        <v>6.8519999999999914</v>
      </c>
      <c r="T775" s="304">
        <f t="shared" ca="1" si="349"/>
        <v>67.218119999999914</v>
      </c>
      <c r="U775" s="311">
        <f t="shared" ca="1" si="350"/>
        <v>0</v>
      </c>
      <c r="V775" s="306">
        <f t="shared" ca="1" si="351"/>
        <v>1.226177383407127</v>
      </c>
      <c r="W775" s="304">
        <f t="shared" ca="1" si="352"/>
        <v>54.987025335380729</v>
      </c>
      <c r="Y775" s="314" t="str">
        <f t="shared" ca="1" si="370"/>
        <v/>
      </c>
      <c r="Z775" s="315" t="str">
        <f t="shared" ca="1" si="371"/>
        <v/>
      </c>
      <c r="AA775" s="316" t="str">
        <f t="shared" ca="1" si="372"/>
        <v/>
      </c>
      <c r="AC775" s="310" t="e">
        <f t="shared" ca="1" si="373"/>
        <v>#N/A</v>
      </c>
      <c r="AD775" s="323" t="e">
        <f t="shared" ca="1" si="374"/>
        <v>#N/A</v>
      </c>
      <c r="AE775" s="324" t="e">
        <f t="shared" ca="1" si="353"/>
        <v>#N/A</v>
      </c>
      <c r="AG775" s="306">
        <f t="shared" ca="1" si="375"/>
        <v>1.7721648480381464</v>
      </c>
      <c r="AH775" s="304">
        <f t="shared" ca="1" si="376"/>
        <v>-8.0249279150340911</v>
      </c>
    </row>
    <row r="776" spans="1:34" x14ac:dyDescent="0.2">
      <c r="A776" s="347">
        <f t="shared" ca="1" si="354"/>
        <v>1E-4</v>
      </c>
      <c r="B776" s="304">
        <f t="shared" ca="1" si="355"/>
        <v>39.401800000000307</v>
      </c>
      <c r="D776" s="306">
        <f t="shared" ca="1" si="356"/>
        <v>-0.41152281872612634</v>
      </c>
      <c r="E776" s="307">
        <f t="shared" ca="1" si="357"/>
        <v>-1.7955985499930716</v>
      </c>
      <c r="F776" s="304">
        <f t="shared" ca="1" si="358"/>
        <v>1.8421523235252608</v>
      </c>
      <c r="G776" s="306">
        <f t="shared" ca="1" si="359"/>
        <v>6.8492614332817929</v>
      </c>
      <c r="H776" s="307">
        <f t="shared" ca="1" si="360"/>
        <v>-133.39025679348137</v>
      </c>
      <c r="I776" s="304">
        <f t="shared" ca="1" si="361"/>
        <v>133.56598739803613</v>
      </c>
      <c r="J776" s="306">
        <f t="shared" ca="1" si="362"/>
        <v>539.267207314762</v>
      </c>
      <c r="K776" s="307">
        <f t="shared" ca="1" si="363"/>
        <v>-9.6200155069232096</v>
      </c>
      <c r="L776" s="304">
        <f t="shared" ca="1" si="348"/>
        <v>539.35300646553912</v>
      </c>
      <c r="M776" s="306">
        <f t="shared" ca="1" si="364"/>
        <v>-1.5194938435112406</v>
      </c>
      <c r="N776" s="304">
        <f t="shared" ca="1" si="365"/>
        <v>-87.060584229306059</v>
      </c>
      <c r="P776" s="310">
        <f t="shared" ca="1" si="366"/>
        <v>23</v>
      </c>
      <c r="Q776" s="304">
        <f t="shared" ca="1" si="367"/>
        <v>0</v>
      </c>
      <c r="R776" s="306">
        <f t="shared" ca="1" si="368"/>
        <v>0</v>
      </c>
      <c r="S776" s="307">
        <f t="shared" ca="1" si="369"/>
        <v>6.8519999999999914</v>
      </c>
      <c r="T776" s="304">
        <f t="shared" ca="1" si="349"/>
        <v>67.218119999999914</v>
      </c>
      <c r="U776" s="311">
        <f t="shared" ca="1" si="350"/>
        <v>0</v>
      </c>
      <c r="V776" s="306">
        <f t="shared" ca="1" si="351"/>
        <v>1.2261790190086557</v>
      </c>
      <c r="W776" s="304">
        <f t="shared" ca="1" si="352"/>
        <v>54.987244595108294</v>
      </c>
      <c r="Y776" s="314" t="str">
        <f t="shared" ca="1" si="370"/>
        <v/>
      </c>
      <c r="Z776" s="315" t="str">
        <f t="shared" ca="1" si="371"/>
        <v/>
      </c>
      <c r="AA776" s="316" t="str">
        <f t="shared" ca="1" si="372"/>
        <v/>
      </c>
      <c r="AC776" s="310" t="e">
        <f t="shared" ca="1" si="373"/>
        <v>#N/A</v>
      </c>
      <c r="AD776" s="323" t="e">
        <f t="shared" ca="1" si="374"/>
        <v>#N/A</v>
      </c>
      <c r="AE776" s="324" t="e">
        <f t="shared" ca="1" si="353"/>
        <v>#N/A</v>
      </c>
      <c r="AG776" s="306">
        <f t="shared" ca="1" si="375"/>
        <v>1.7721330378671798</v>
      </c>
      <c r="AH776" s="304">
        <f t="shared" ca="1" si="376"/>
        <v>-8.0249599146790427</v>
      </c>
    </row>
    <row r="777" spans="1:34" x14ac:dyDescent="0.2">
      <c r="A777" s="347">
        <f t="shared" ca="1" si="354"/>
        <v>1E-4</v>
      </c>
      <c r="B777" s="304">
        <f t="shared" ca="1" si="355"/>
        <v>39.40190000000031</v>
      </c>
      <c r="D777" s="306">
        <f t="shared" ca="1" si="356"/>
        <v>-0.41152144112511402</v>
      </c>
      <c r="E777" s="307">
        <f t="shared" ca="1" si="357"/>
        <v>-1.7955664377230871</v>
      </c>
      <c r="F777" s="304">
        <f t="shared" ca="1" si="358"/>
        <v>1.8421207150410277</v>
      </c>
      <c r="G777" s="306">
        <f t="shared" ca="1" si="359"/>
        <v>6.8492202811376801</v>
      </c>
      <c r="H777" s="307">
        <f t="shared" ca="1" si="360"/>
        <v>-133.39043635012516</v>
      </c>
      <c r="I777" s="304">
        <f t="shared" ca="1" si="361"/>
        <v>133.56616460816841</v>
      </c>
      <c r="J777" s="306">
        <f t="shared" ca="1" si="362"/>
        <v>539.267207314762</v>
      </c>
      <c r="K777" s="307">
        <f t="shared" ca="1" si="363"/>
        <v>-9.6333545415803901</v>
      </c>
      <c r="L777" s="304">
        <f t="shared" ca="1" si="348"/>
        <v>539.35324454830743</v>
      </c>
      <c r="M777" s="306">
        <f t="shared" ca="1" si="364"/>
        <v>-1.5194942201460158</v>
      </c>
      <c r="N777" s="304">
        <f t="shared" ca="1" si="365"/>
        <v>-87.060605808889093</v>
      </c>
      <c r="P777" s="310">
        <f t="shared" ca="1" si="366"/>
        <v>23</v>
      </c>
      <c r="Q777" s="304">
        <f t="shared" ca="1" si="367"/>
        <v>0</v>
      </c>
      <c r="R777" s="306">
        <f t="shared" ca="1" si="368"/>
        <v>0</v>
      </c>
      <c r="S777" s="307">
        <f t="shared" ca="1" si="369"/>
        <v>6.8519999999999914</v>
      </c>
      <c r="T777" s="304">
        <f t="shared" ca="1" si="349"/>
        <v>67.218119999999914</v>
      </c>
      <c r="U777" s="311">
        <f t="shared" ca="1" si="350"/>
        <v>0</v>
      </c>
      <c r="V777" s="306">
        <f t="shared" ca="1" si="351"/>
        <v>1.2261806546145682</v>
      </c>
      <c r="W777" s="304">
        <f t="shared" ca="1" si="352"/>
        <v>54.987463852996171</v>
      </c>
      <c r="Y777" s="314" t="str">
        <f t="shared" ca="1" si="370"/>
        <v/>
      </c>
      <c r="Z777" s="315" t="str">
        <f t="shared" ca="1" si="371"/>
        <v/>
      </c>
      <c r="AA777" s="316" t="str">
        <f t="shared" ca="1" si="372"/>
        <v/>
      </c>
      <c r="AC777" s="310" t="e">
        <f t="shared" ca="1" si="373"/>
        <v>#N/A</v>
      </c>
      <c r="AD777" s="323" t="e">
        <f t="shared" ca="1" si="374"/>
        <v>#N/A</v>
      </c>
      <c r="AE777" s="324" t="e">
        <f t="shared" ca="1" si="353"/>
        <v>#N/A</v>
      </c>
      <c r="AG777" s="306">
        <f t="shared" ca="1" si="375"/>
        <v>1.7721012279616648</v>
      </c>
      <c r="AH777" s="304">
        <f t="shared" ca="1" si="376"/>
        <v>-8.0249919140555104</v>
      </c>
    </row>
    <row r="778" spans="1:34" x14ac:dyDescent="0.2">
      <c r="A778" s="347">
        <f t="shared" ca="1" si="354"/>
        <v>1E-4</v>
      </c>
      <c r="B778" s="304">
        <f t="shared" ca="1" si="355"/>
        <v>39.402000000000314</v>
      </c>
      <c r="D778" s="306">
        <f t="shared" ca="1" si="356"/>
        <v>-0.41152006351234816</v>
      </c>
      <c r="E778" s="307">
        <f t="shared" ca="1" si="357"/>
        <v>-1.7955343257224783</v>
      </c>
      <c r="F778" s="304">
        <f t="shared" ca="1" si="358"/>
        <v>1.8420891068351939</v>
      </c>
      <c r="G778" s="306">
        <f t="shared" ca="1" si="359"/>
        <v>6.8491791291313291</v>
      </c>
      <c r="H778" s="307">
        <f t="shared" ca="1" si="360"/>
        <v>-133.39061590355772</v>
      </c>
      <c r="I778" s="304">
        <f t="shared" ca="1" si="361"/>
        <v>133.5663418151197</v>
      </c>
      <c r="J778" s="306">
        <f t="shared" ca="1" si="362"/>
        <v>539.267207314762</v>
      </c>
      <c r="K778" s="307">
        <f t="shared" ca="1" si="363"/>
        <v>-9.6466935941930743</v>
      </c>
      <c r="L778" s="304">
        <f t="shared" ca="1" si="348"/>
        <v>539.35348296118639</v>
      </c>
      <c r="M778" s="306">
        <f t="shared" ca="1" si="364"/>
        <v>-1.5194945967775286</v>
      </c>
      <c r="N778" s="304">
        <f t="shared" ca="1" si="365"/>
        <v>-87.060627388285212</v>
      </c>
      <c r="P778" s="310">
        <f t="shared" ca="1" si="366"/>
        <v>23</v>
      </c>
      <c r="Q778" s="304">
        <f t="shared" ca="1" si="367"/>
        <v>0</v>
      </c>
      <c r="R778" s="306">
        <f t="shared" ca="1" si="368"/>
        <v>0</v>
      </c>
      <c r="S778" s="307">
        <f t="shared" ca="1" si="369"/>
        <v>6.8519999999999914</v>
      </c>
      <c r="T778" s="304">
        <f t="shared" ca="1" si="349"/>
        <v>67.218119999999914</v>
      </c>
      <c r="U778" s="311">
        <f t="shared" ca="1" si="350"/>
        <v>0</v>
      </c>
      <c r="V778" s="306">
        <f t="shared" ca="1" si="351"/>
        <v>1.2261822902248656</v>
      </c>
      <c r="W778" s="304">
        <f t="shared" ca="1" si="352"/>
        <v>54.98768310904439</v>
      </c>
      <c r="Y778" s="314" t="str">
        <f t="shared" ca="1" si="370"/>
        <v/>
      </c>
      <c r="Z778" s="315" t="str">
        <f t="shared" ca="1" si="371"/>
        <v/>
      </c>
      <c r="AA778" s="316" t="str">
        <f t="shared" ca="1" si="372"/>
        <v/>
      </c>
      <c r="AC778" s="310" t="e">
        <f t="shared" ca="1" si="373"/>
        <v>#N/A</v>
      </c>
      <c r="AD778" s="323" t="e">
        <f t="shared" ca="1" si="374"/>
        <v>#N/A</v>
      </c>
      <c r="AE778" s="324" t="e">
        <f t="shared" ca="1" si="353"/>
        <v>#N/A</v>
      </c>
      <c r="AG778" s="306">
        <f t="shared" ca="1" si="375"/>
        <v>1.7720694183216086</v>
      </c>
      <c r="AH778" s="304">
        <f t="shared" ca="1" si="376"/>
        <v>-8.0250239131634906</v>
      </c>
    </row>
    <row r="779" spans="1:34" x14ac:dyDescent="0.2">
      <c r="A779" s="347">
        <f t="shared" ca="1" si="354"/>
        <v>1E-4</v>
      </c>
      <c r="B779" s="304">
        <f t="shared" ca="1" si="355"/>
        <v>39.402100000000317</v>
      </c>
      <c r="D779" s="306">
        <f t="shared" ca="1" si="356"/>
        <v>-0.41151868588782953</v>
      </c>
      <c r="E779" s="307">
        <f t="shared" ca="1" si="357"/>
        <v>-1.7955022139912469</v>
      </c>
      <c r="F779" s="304">
        <f t="shared" ca="1" si="358"/>
        <v>1.8420574989077609</v>
      </c>
      <c r="G779" s="306">
        <f t="shared" ca="1" si="359"/>
        <v>6.8491379772627399</v>
      </c>
      <c r="H779" s="307">
        <f t="shared" ca="1" si="360"/>
        <v>-133.39079545377911</v>
      </c>
      <c r="I779" s="304">
        <f t="shared" ca="1" si="361"/>
        <v>133.56651901889006</v>
      </c>
      <c r="J779" s="306">
        <f t="shared" ca="1" si="362"/>
        <v>539.267207314762</v>
      </c>
      <c r="K779" s="307">
        <f t="shared" ca="1" si="363"/>
        <v>-9.6600326647609407</v>
      </c>
      <c r="L779" s="304">
        <f t="shared" ca="1" si="348"/>
        <v>539.35372170417691</v>
      </c>
      <c r="M779" s="306">
        <f t="shared" ca="1" si="364"/>
        <v>-1.519494973405779</v>
      </c>
      <c r="N779" s="304">
        <f t="shared" ca="1" si="365"/>
        <v>-87.060648967494402</v>
      </c>
      <c r="P779" s="310">
        <f t="shared" ca="1" si="366"/>
        <v>23</v>
      </c>
      <c r="Q779" s="304">
        <f t="shared" ca="1" si="367"/>
        <v>0</v>
      </c>
      <c r="R779" s="306">
        <f t="shared" ca="1" si="368"/>
        <v>0</v>
      </c>
      <c r="S779" s="307">
        <f t="shared" ca="1" si="369"/>
        <v>6.8519999999999914</v>
      </c>
      <c r="T779" s="304">
        <f t="shared" ca="1" si="349"/>
        <v>67.218119999999914</v>
      </c>
      <c r="U779" s="311">
        <f t="shared" ca="1" si="350"/>
        <v>0</v>
      </c>
      <c r="V779" s="306">
        <f t="shared" ca="1" si="351"/>
        <v>1.2261839258395473</v>
      </c>
      <c r="W779" s="304">
        <f t="shared" ca="1" si="352"/>
        <v>54.98790236325295</v>
      </c>
      <c r="Y779" s="314" t="str">
        <f t="shared" ca="1" si="370"/>
        <v/>
      </c>
      <c r="Z779" s="315" t="str">
        <f t="shared" ca="1" si="371"/>
        <v/>
      </c>
      <c r="AA779" s="316" t="str">
        <f t="shared" ca="1" si="372"/>
        <v/>
      </c>
      <c r="AC779" s="310" t="e">
        <f t="shared" ca="1" si="373"/>
        <v>#N/A</v>
      </c>
      <c r="AD779" s="323" t="e">
        <f t="shared" ca="1" si="374"/>
        <v>#N/A</v>
      </c>
      <c r="AE779" s="324" t="e">
        <f t="shared" ca="1" si="353"/>
        <v>#N/A</v>
      </c>
      <c r="AG779" s="306">
        <f t="shared" ca="1" si="375"/>
        <v>1.7720376089470076</v>
      </c>
      <c r="AH779" s="304">
        <f t="shared" ca="1" si="376"/>
        <v>-8.0250559120029852</v>
      </c>
    </row>
    <row r="780" spans="1:34" x14ac:dyDescent="0.2">
      <c r="A780" s="347">
        <f t="shared" ca="1" si="354"/>
        <v>1E-4</v>
      </c>
      <c r="B780" s="304">
        <f t="shared" ca="1" si="355"/>
        <v>39.40220000000032</v>
      </c>
      <c r="D780" s="306">
        <f t="shared" ca="1" si="356"/>
        <v>-0.41151730825156058</v>
      </c>
      <c r="E780" s="307">
        <f t="shared" ca="1" si="357"/>
        <v>-1.7954701025293893</v>
      </c>
      <c r="F780" s="304">
        <f t="shared" ca="1" si="358"/>
        <v>1.8420258912587266</v>
      </c>
      <c r="G780" s="306">
        <f t="shared" ca="1" si="359"/>
        <v>6.8490968255319151</v>
      </c>
      <c r="H780" s="307">
        <f t="shared" ca="1" si="360"/>
        <v>-133.39097500078935</v>
      </c>
      <c r="I780" s="304">
        <f t="shared" ca="1" si="361"/>
        <v>133.5666962194795</v>
      </c>
      <c r="J780" s="306">
        <f t="shared" ca="1" si="362"/>
        <v>539.267207314762</v>
      </c>
      <c r="K780" s="307">
        <f t="shared" ca="1" si="363"/>
        <v>-9.6733717532836696</v>
      </c>
      <c r="L780" s="304">
        <f t="shared" ca="1" si="348"/>
        <v>539.35396077728001</v>
      </c>
      <c r="M780" s="306">
        <f t="shared" ca="1" si="364"/>
        <v>-1.5194953500307673</v>
      </c>
      <c r="N780" s="304">
        <f t="shared" ca="1" si="365"/>
        <v>-87.06067054651669</v>
      </c>
      <c r="P780" s="310">
        <f t="shared" ca="1" si="366"/>
        <v>23</v>
      </c>
      <c r="Q780" s="304">
        <f t="shared" ca="1" si="367"/>
        <v>0</v>
      </c>
      <c r="R780" s="306">
        <f t="shared" ca="1" si="368"/>
        <v>0</v>
      </c>
      <c r="S780" s="307">
        <f t="shared" ca="1" si="369"/>
        <v>6.8519999999999914</v>
      </c>
      <c r="T780" s="304">
        <f t="shared" ca="1" si="349"/>
        <v>67.218119999999914</v>
      </c>
      <c r="U780" s="311">
        <f t="shared" ca="1" si="350"/>
        <v>0</v>
      </c>
      <c r="V780" s="306">
        <f t="shared" ca="1" si="351"/>
        <v>1.2261855614586137</v>
      </c>
      <c r="W780" s="304">
        <f t="shared" ca="1" si="352"/>
        <v>54.988121615621836</v>
      </c>
      <c r="Y780" s="314" t="str">
        <f t="shared" ca="1" si="370"/>
        <v/>
      </c>
      <c r="Z780" s="315" t="str">
        <f t="shared" ca="1" si="371"/>
        <v/>
      </c>
      <c r="AA780" s="316" t="str">
        <f t="shared" ca="1" si="372"/>
        <v/>
      </c>
      <c r="AC780" s="310" t="e">
        <f t="shared" ca="1" si="373"/>
        <v>#N/A</v>
      </c>
      <c r="AD780" s="323" t="e">
        <f t="shared" ca="1" si="374"/>
        <v>#N/A</v>
      </c>
      <c r="AE780" s="324" t="e">
        <f t="shared" ca="1" si="353"/>
        <v>#N/A</v>
      </c>
      <c r="AG780" s="306">
        <f t="shared" ca="1" si="375"/>
        <v>1.7720057998378564</v>
      </c>
      <c r="AH780" s="304">
        <f t="shared" ca="1" si="376"/>
        <v>-8.0250879105739958</v>
      </c>
    </row>
    <row r="781" spans="1:34" x14ac:dyDescent="0.2">
      <c r="A781" s="347">
        <f t="shared" ca="1" si="354"/>
        <v>1E-4</v>
      </c>
      <c r="B781" s="304">
        <f t="shared" ca="1" si="355"/>
        <v>39.402300000000324</v>
      </c>
      <c r="D781" s="306">
        <f t="shared" ca="1" si="356"/>
        <v>-0.41151593060353808</v>
      </c>
      <c r="E781" s="307">
        <f t="shared" ca="1" si="357"/>
        <v>-1.7954379913369092</v>
      </c>
      <c r="F781" s="304">
        <f t="shared" ca="1" si="358"/>
        <v>1.8419942838880938</v>
      </c>
      <c r="G781" s="306">
        <f t="shared" ca="1" si="359"/>
        <v>6.8490556739388548</v>
      </c>
      <c r="H781" s="307">
        <f t="shared" ca="1" si="360"/>
        <v>-133.39115454458849</v>
      </c>
      <c r="I781" s="304">
        <f t="shared" ca="1" si="361"/>
        <v>133.56687341688809</v>
      </c>
      <c r="J781" s="306">
        <f t="shared" ca="1" si="362"/>
        <v>539.267207314762</v>
      </c>
      <c r="K781" s="307">
        <f t="shared" ca="1" si="363"/>
        <v>-9.6867108597609377</v>
      </c>
      <c r="L781" s="304">
        <f t="shared" ca="1" si="348"/>
        <v>539.35420018049649</v>
      </c>
      <c r="M781" s="306">
        <f t="shared" ca="1" si="364"/>
        <v>-1.5194957266524936</v>
      </c>
      <c r="N781" s="304">
        <f t="shared" ca="1" si="365"/>
        <v>-87.060692125352077</v>
      </c>
      <c r="P781" s="310">
        <f t="shared" ca="1" si="366"/>
        <v>23</v>
      </c>
      <c r="Q781" s="304">
        <f t="shared" ca="1" si="367"/>
        <v>0</v>
      </c>
      <c r="R781" s="306">
        <f t="shared" ca="1" si="368"/>
        <v>0</v>
      </c>
      <c r="S781" s="307">
        <f t="shared" ca="1" si="369"/>
        <v>6.8519999999999914</v>
      </c>
      <c r="T781" s="304">
        <f t="shared" ca="1" si="349"/>
        <v>67.218119999999914</v>
      </c>
      <c r="U781" s="311">
        <f t="shared" ca="1" si="350"/>
        <v>0</v>
      </c>
      <c r="V781" s="306">
        <f t="shared" ca="1" si="351"/>
        <v>1.2261871970820644</v>
      </c>
      <c r="W781" s="304">
        <f t="shared" ca="1" si="352"/>
        <v>54.988340866151098</v>
      </c>
      <c r="Y781" s="314" t="str">
        <f t="shared" ca="1" si="370"/>
        <v/>
      </c>
      <c r="Z781" s="315" t="str">
        <f t="shared" ca="1" si="371"/>
        <v/>
      </c>
      <c r="AA781" s="316" t="str">
        <f t="shared" ca="1" si="372"/>
        <v/>
      </c>
      <c r="AC781" s="310" t="e">
        <f t="shared" ca="1" si="373"/>
        <v>#N/A</v>
      </c>
      <c r="AD781" s="323" t="e">
        <f t="shared" ca="1" si="374"/>
        <v>#N/A</v>
      </c>
      <c r="AE781" s="324" t="e">
        <f t="shared" ca="1" si="353"/>
        <v>#N/A</v>
      </c>
      <c r="AG781" s="306">
        <f t="shared" ca="1" si="375"/>
        <v>1.7719739909941641</v>
      </c>
      <c r="AH781" s="304">
        <f t="shared" ca="1" si="376"/>
        <v>-8.025119908876519</v>
      </c>
    </row>
    <row r="782" spans="1:34" x14ac:dyDescent="0.2">
      <c r="A782" s="347">
        <f t="shared" ca="1" si="354"/>
        <v>1E-4</v>
      </c>
      <c r="B782" s="304">
        <f t="shared" ca="1" si="355"/>
        <v>39.402400000000327</v>
      </c>
      <c r="D782" s="306">
        <f t="shared" ca="1" si="356"/>
        <v>-0.41151455294376321</v>
      </c>
      <c r="E782" s="307">
        <f t="shared" ca="1" si="357"/>
        <v>-1.7954058804137993</v>
      </c>
      <c r="F782" s="304">
        <f t="shared" ca="1" si="358"/>
        <v>1.8419626767958561</v>
      </c>
      <c r="G782" s="306">
        <f t="shared" ca="1" si="359"/>
        <v>6.8490145224835608</v>
      </c>
      <c r="H782" s="307">
        <f t="shared" ca="1" si="360"/>
        <v>-133.39133408517654</v>
      </c>
      <c r="I782" s="304">
        <f t="shared" ca="1" si="361"/>
        <v>133.5670506111158</v>
      </c>
      <c r="J782" s="306">
        <f t="shared" ca="1" si="362"/>
        <v>539.267207314762</v>
      </c>
      <c r="K782" s="307">
        <f t="shared" ca="1" si="363"/>
        <v>-9.7000499841924253</v>
      </c>
      <c r="L782" s="304">
        <f t="shared" ca="1" si="348"/>
        <v>539.35443991382726</v>
      </c>
      <c r="M782" s="306">
        <f t="shared" ca="1" si="364"/>
        <v>-1.5194961032709575</v>
      </c>
      <c r="N782" s="304">
        <f t="shared" ca="1" si="365"/>
        <v>-87.060713704000548</v>
      </c>
      <c r="P782" s="310">
        <f t="shared" ca="1" si="366"/>
        <v>23</v>
      </c>
      <c r="Q782" s="304">
        <f t="shared" ca="1" si="367"/>
        <v>0</v>
      </c>
      <c r="R782" s="306">
        <f t="shared" ca="1" si="368"/>
        <v>0</v>
      </c>
      <c r="S782" s="307">
        <f t="shared" ca="1" si="369"/>
        <v>6.8519999999999914</v>
      </c>
      <c r="T782" s="304">
        <f t="shared" ca="1" si="349"/>
        <v>67.218119999999914</v>
      </c>
      <c r="U782" s="311">
        <f t="shared" ca="1" si="350"/>
        <v>0</v>
      </c>
      <c r="V782" s="306">
        <f t="shared" ca="1" si="351"/>
        <v>1.2261888327098991</v>
      </c>
      <c r="W782" s="304">
        <f t="shared" ca="1" si="352"/>
        <v>54.988560114840681</v>
      </c>
      <c r="Y782" s="314" t="str">
        <f t="shared" ca="1" si="370"/>
        <v/>
      </c>
      <c r="Z782" s="315" t="str">
        <f t="shared" ca="1" si="371"/>
        <v/>
      </c>
      <c r="AA782" s="316" t="str">
        <f t="shared" ca="1" si="372"/>
        <v/>
      </c>
      <c r="AC782" s="310" t="e">
        <f t="shared" ca="1" si="373"/>
        <v>#N/A</v>
      </c>
      <c r="AD782" s="323" t="e">
        <f t="shared" ca="1" si="374"/>
        <v>#N/A</v>
      </c>
      <c r="AE782" s="324" t="e">
        <f t="shared" ca="1" si="353"/>
        <v>#N/A</v>
      </c>
      <c r="AG782" s="306">
        <f t="shared" ca="1" si="375"/>
        <v>1.7719421824159234</v>
      </c>
      <c r="AH782" s="304">
        <f t="shared" ca="1" si="376"/>
        <v>-8.0251519069105619</v>
      </c>
    </row>
    <row r="783" spans="1:34" x14ac:dyDescent="0.2">
      <c r="A783" s="347">
        <f t="shared" ca="1" si="354"/>
        <v>1E-4</v>
      </c>
      <c r="B783" s="304">
        <f t="shared" ca="1" si="355"/>
        <v>39.40250000000033</v>
      </c>
      <c r="D783" s="306">
        <f t="shared" ca="1" si="356"/>
        <v>-0.41151317527223774</v>
      </c>
      <c r="E783" s="307">
        <f t="shared" ca="1" si="357"/>
        <v>-1.7953737697600687</v>
      </c>
      <c r="F783" s="304">
        <f t="shared" ca="1" si="358"/>
        <v>1.8419310699820228</v>
      </c>
      <c r="G783" s="306">
        <f t="shared" ca="1" si="359"/>
        <v>6.8489733711660339</v>
      </c>
      <c r="H783" s="307">
        <f t="shared" ca="1" si="360"/>
        <v>-133.3915136225535</v>
      </c>
      <c r="I783" s="304">
        <f t="shared" ca="1" si="361"/>
        <v>133.56722780216268</v>
      </c>
      <c r="J783" s="306">
        <f t="shared" ca="1" si="362"/>
        <v>539.267207314762</v>
      </c>
      <c r="K783" s="307">
        <f t="shared" ca="1" si="363"/>
        <v>-9.7133891265778125</v>
      </c>
      <c r="L783" s="304">
        <f t="shared" ca="1" si="348"/>
        <v>539.35467997727324</v>
      </c>
      <c r="M783" s="306">
        <f t="shared" ca="1" si="364"/>
        <v>-1.5194964798861592</v>
      </c>
      <c r="N783" s="304">
        <f t="shared" ca="1" si="365"/>
        <v>-87.060735282462105</v>
      </c>
      <c r="P783" s="310">
        <f t="shared" ca="1" si="366"/>
        <v>23</v>
      </c>
      <c r="Q783" s="304">
        <f t="shared" ca="1" si="367"/>
        <v>0</v>
      </c>
      <c r="R783" s="306">
        <f t="shared" ca="1" si="368"/>
        <v>0</v>
      </c>
      <c r="S783" s="307">
        <f t="shared" ca="1" si="369"/>
        <v>6.8519999999999914</v>
      </c>
      <c r="T783" s="304">
        <f t="shared" ca="1" si="349"/>
        <v>67.218119999999914</v>
      </c>
      <c r="U783" s="311">
        <f t="shared" ca="1" si="350"/>
        <v>0</v>
      </c>
      <c r="V783" s="306">
        <f t="shared" ca="1" si="351"/>
        <v>1.2261904683421183</v>
      </c>
      <c r="W783" s="304">
        <f t="shared" ca="1" si="352"/>
        <v>54.988779361690618</v>
      </c>
      <c r="Y783" s="314" t="str">
        <f t="shared" ca="1" si="370"/>
        <v/>
      </c>
      <c r="Z783" s="315" t="str">
        <f t="shared" ca="1" si="371"/>
        <v/>
      </c>
      <c r="AA783" s="316" t="str">
        <f t="shared" ca="1" si="372"/>
        <v/>
      </c>
      <c r="AC783" s="310" t="e">
        <f t="shared" ca="1" si="373"/>
        <v>#N/A</v>
      </c>
      <c r="AD783" s="323" t="e">
        <f t="shared" ca="1" si="374"/>
        <v>#N/A</v>
      </c>
      <c r="AE783" s="324" t="e">
        <f t="shared" ca="1" si="353"/>
        <v>#N/A</v>
      </c>
      <c r="AG783" s="306">
        <f t="shared" ca="1" si="375"/>
        <v>1.7719103741031397</v>
      </c>
      <c r="AH783" s="304">
        <f t="shared" ca="1" si="376"/>
        <v>-8.0251839046761155</v>
      </c>
    </row>
    <row r="784" spans="1:34" x14ac:dyDescent="0.2">
      <c r="A784" s="347">
        <f t="shared" ca="1" si="354"/>
        <v>1E-4</v>
      </c>
      <c r="B784" s="304">
        <f t="shared" ca="1" si="355"/>
        <v>39.402600000000334</v>
      </c>
      <c r="D784" s="306">
        <f t="shared" ca="1" si="356"/>
        <v>-0.41151179758896278</v>
      </c>
      <c r="E784" s="307">
        <f t="shared" ca="1" si="357"/>
        <v>-1.7953416593757083</v>
      </c>
      <c r="F784" s="304">
        <f t="shared" ca="1" si="358"/>
        <v>1.8418994634465859</v>
      </c>
      <c r="G784" s="306">
        <f t="shared" ca="1" si="359"/>
        <v>6.848932219986275</v>
      </c>
      <c r="H784" s="307">
        <f t="shared" ca="1" si="360"/>
        <v>-133.39169315671944</v>
      </c>
      <c r="I784" s="304">
        <f t="shared" ca="1" si="361"/>
        <v>133.56740499002873</v>
      </c>
      <c r="J784" s="306">
        <f t="shared" ca="1" si="362"/>
        <v>539.267207314762</v>
      </c>
      <c r="K784" s="307">
        <f t="shared" ca="1" si="363"/>
        <v>-9.7267282869167762</v>
      </c>
      <c r="L784" s="304">
        <f t="shared" ca="1" si="348"/>
        <v>539.3549203708352</v>
      </c>
      <c r="M784" s="306">
        <f t="shared" ca="1" si="364"/>
        <v>-1.5194968564980991</v>
      </c>
      <c r="N784" s="304">
        <f t="shared" ca="1" si="365"/>
        <v>-87.060756860736774</v>
      </c>
      <c r="P784" s="310">
        <f t="shared" ca="1" si="366"/>
        <v>23</v>
      </c>
      <c r="Q784" s="304">
        <f t="shared" ca="1" si="367"/>
        <v>0</v>
      </c>
      <c r="R784" s="306">
        <f t="shared" ca="1" si="368"/>
        <v>0</v>
      </c>
      <c r="S784" s="307">
        <f t="shared" ca="1" si="369"/>
        <v>6.8519999999999914</v>
      </c>
      <c r="T784" s="304">
        <f t="shared" ca="1" si="349"/>
        <v>67.218119999999914</v>
      </c>
      <c r="U784" s="311">
        <f t="shared" ca="1" si="350"/>
        <v>0</v>
      </c>
      <c r="V784" s="306">
        <f t="shared" ca="1" si="351"/>
        <v>1.226192103978722</v>
      </c>
      <c r="W784" s="304">
        <f t="shared" ca="1" si="352"/>
        <v>54.988998606700896</v>
      </c>
      <c r="Y784" s="314" t="str">
        <f t="shared" ca="1" si="370"/>
        <v/>
      </c>
      <c r="Z784" s="315" t="str">
        <f t="shared" ca="1" si="371"/>
        <v/>
      </c>
      <c r="AA784" s="316" t="str">
        <f t="shared" ca="1" si="372"/>
        <v/>
      </c>
      <c r="AC784" s="310" t="e">
        <f t="shared" ca="1" si="373"/>
        <v>#N/A</v>
      </c>
      <c r="AD784" s="323" t="e">
        <f t="shared" ca="1" si="374"/>
        <v>#N/A</v>
      </c>
      <c r="AE784" s="324" t="e">
        <f t="shared" ca="1" si="353"/>
        <v>#N/A</v>
      </c>
      <c r="AG784" s="306">
        <f t="shared" ca="1" si="375"/>
        <v>1.7718785660558058</v>
      </c>
      <c r="AH784" s="304">
        <f t="shared" ca="1" si="376"/>
        <v>-8.0252159021731888</v>
      </c>
    </row>
    <row r="785" spans="1:34" x14ac:dyDescent="0.2">
      <c r="A785" s="347">
        <f t="shared" ca="1" si="354"/>
        <v>1E-4</v>
      </c>
      <c r="B785" s="304">
        <f t="shared" ca="1" si="355"/>
        <v>39.402700000000337</v>
      </c>
      <c r="D785" s="306">
        <f t="shared" ca="1" si="356"/>
        <v>-0.41151041989393505</v>
      </c>
      <c r="E785" s="307">
        <f t="shared" ca="1" si="357"/>
        <v>-1.7953095492607254</v>
      </c>
      <c r="F785" s="304">
        <f t="shared" ca="1" si="358"/>
        <v>1.8418678571895519</v>
      </c>
      <c r="G785" s="306">
        <f t="shared" ca="1" si="359"/>
        <v>6.8488910689442859</v>
      </c>
      <c r="H785" s="307">
        <f t="shared" ca="1" si="360"/>
        <v>-133.39187268767438</v>
      </c>
      <c r="I785" s="304">
        <f t="shared" ca="1" si="361"/>
        <v>133.56758217471409</v>
      </c>
      <c r="J785" s="306">
        <f t="shared" ca="1" si="362"/>
        <v>539.267207314762</v>
      </c>
      <c r="K785" s="307">
        <f t="shared" ca="1" si="363"/>
        <v>-9.7400674652089965</v>
      </c>
      <c r="L785" s="304">
        <f t="shared" ca="1" si="348"/>
        <v>539.35516109451419</v>
      </c>
      <c r="M785" s="306">
        <f t="shared" ca="1" si="364"/>
        <v>-1.5194972331067769</v>
      </c>
      <c r="N785" s="304">
        <f t="shared" ca="1" si="365"/>
        <v>-87.060778438824542</v>
      </c>
      <c r="P785" s="310">
        <f t="shared" ca="1" si="366"/>
        <v>23</v>
      </c>
      <c r="Q785" s="304">
        <f t="shared" ca="1" si="367"/>
        <v>0</v>
      </c>
      <c r="R785" s="306">
        <f t="shared" ca="1" si="368"/>
        <v>0</v>
      </c>
      <c r="S785" s="307">
        <f t="shared" ca="1" si="369"/>
        <v>6.8519999999999914</v>
      </c>
      <c r="T785" s="304">
        <f t="shared" ca="1" si="349"/>
        <v>67.218119999999914</v>
      </c>
      <c r="U785" s="311">
        <f t="shared" ca="1" si="350"/>
        <v>0</v>
      </c>
      <c r="V785" s="306">
        <f t="shared" ca="1" si="351"/>
        <v>1.2261937396197098</v>
      </c>
      <c r="W785" s="304">
        <f t="shared" ca="1" si="352"/>
        <v>54.989217849871572</v>
      </c>
      <c r="Y785" s="314" t="str">
        <f t="shared" ca="1" si="370"/>
        <v/>
      </c>
      <c r="Z785" s="315" t="str">
        <f t="shared" ca="1" si="371"/>
        <v/>
      </c>
      <c r="AA785" s="316" t="str">
        <f t="shared" ca="1" si="372"/>
        <v/>
      </c>
      <c r="AC785" s="310" t="e">
        <f t="shared" ca="1" si="373"/>
        <v>#N/A</v>
      </c>
      <c r="AD785" s="323" t="e">
        <f t="shared" ca="1" si="374"/>
        <v>#N/A</v>
      </c>
      <c r="AE785" s="324" t="e">
        <f t="shared" ca="1" si="353"/>
        <v>#N/A</v>
      </c>
      <c r="AG785" s="306">
        <f t="shared" ca="1" si="375"/>
        <v>1.7718467582739272</v>
      </c>
      <c r="AH785" s="304">
        <f t="shared" ca="1" si="376"/>
        <v>-8.0252478994017746</v>
      </c>
    </row>
    <row r="786" spans="1:34" x14ac:dyDescent="0.2">
      <c r="A786" s="347">
        <f t="shared" ca="1" si="354"/>
        <v>1E-4</v>
      </c>
      <c r="B786" s="304">
        <f t="shared" ca="1" si="355"/>
        <v>39.40280000000034</v>
      </c>
      <c r="D786" s="306">
        <f t="shared" ca="1" si="356"/>
        <v>-0.41150904218715761</v>
      </c>
      <c r="E786" s="307">
        <f t="shared" ca="1" si="357"/>
        <v>-1.7952774394151092</v>
      </c>
      <c r="F786" s="304">
        <f t="shared" ca="1" si="358"/>
        <v>1.8418362512109112</v>
      </c>
      <c r="G786" s="306">
        <f t="shared" ca="1" si="359"/>
        <v>6.8488499180400675</v>
      </c>
      <c r="H786" s="307">
        <f t="shared" ca="1" si="360"/>
        <v>-133.39205221541832</v>
      </c>
      <c r="I786" s="304">
        <f t="shared" ca="1" si="361"/>
        <v>133.56775935621863</v>
      </c>
      <c r="J786" s="306">
        <f t="shared" ca="1" si="362"/>
        <v>539.267207314762</v>
      </c>
      <c r="K786" s="307">
        <f t="shared" ca="1" si="363"/>
        <v>-9.7534066614541519</v>
      </c>
      <c r="L786" s="304">
        <f t="shared" ca="1" si="348"/>
        <v>539.35540214831087</v>
      </c>
      <c r="M786" s="306">
        <f t="shared" ca="1" si="364"/>
        <v>-1.5194976097121926</v>
      </c>
      <c r="N786" s="304">
        <f t="shared" ca="1" si="365"/>
        <v>-87.060800016725409</v>
      </c>
      <c r="P786" s="310">
        <f t="shared" ca="1" si="366"/>
        <v>23</v>
      </c>
      <c r="Q786" s="304">
        <f t="shared" ca="1" si="367"/>
        <v>0</v>
      </c>
      <c r="R786" s="306">
        <f t="shared" ca="1" si="368"/>
        <v>0</v>
      </c>
      <c r="S786" s="307">
        <f t="shared" ca="1" si="369"/>
        <v>6.8519999999999914</v>
      </c>
      <c r="T786" s="304">
        <f t="shared" ca="1" si="349"/>
        <v>67.218119999999914</v>
      </c>
      <c r="U786" s="311">
        <f t="shared" ca="1" si="350"/>
        <v>0</v>
      </c>
      <c r="V786" s="306">
        <f t="shared" ca="1" si="351"/>
        <v>1.2261953752650818</v>
      </c>
      <c r="W786" s="304">
        <f t="shared" ca="1" si="352"/>
        <v>54.989437091202561</v>
      </c>
      <c r="Y786" s="314" t="str">
        <f t="shared" ca="1" si="370"/>
        <v/>
      </c>
      <c r="Z786" s="315" t="str">
        <f t="shared" ca="1" si="371"/>
        <v/>
      </c>
      <c r="AA786" s="316" t="str">
        <f t="shared" ca="1" si="372"/>
        <v/>
      </c>
      <c r="AC786" s="310" t="e">
        <f t="shared" ca="1" si="373"/>
        <v>#N/A</v>
      </c>
      <c r="AD786" s="323" t="e">
        <f t="shared" ca="1" si="374"/>
        <v>#N/A</v>
      </c>
      <c r="AE786" s="324" t="e">
        <f t="shared" ca="1" si="353"/>
        <v>#N/A</v>
      </c>
      <c r="AG786" s="306">
        <f t="shared" ca="1" si="375"/>
        <v>1.771814950757495</v>
      </c>
      <c r="AH786" s="304">
        <f t="shared" ca="1" si="376"/>
        <v>-8.0252798963618854</v>
      </c>
    </row>
    <row r="787" spans="1:34" x14ac:dyDescent="0.2">
      <c r="A787" s="347">
        <f t="shared" ca="1" si="354"/>
        <v>1E-4</v>
      </c>
      <c r="B787" s="304">
        <f t="shared" ca="1" si="355"/>
        <v>39.402900000000344</v>
      </c>
      <c r="D787" s="306">
        <f t="shared" ca="1" si="356"/>
        <v>-0.4115076644686303</v>
      </c>
      <c r="E787" s="307">
        <f t="shared" ca="1" si="357"/>
        <v>-1.7952453298388704</v>
      </c>
      <c r="F787" s="304">
        <f t="shared" ca="1" si="358"/>
        <v>1.8418046455106747</v>
      </c>
      <c r="G787" s="306">
        <f t="shared" ca="1" si="359"/>
        <v>6.8488087672736206</v>
      </c>
      <c r="H787" s="307">
        <f t="shared" ca="1" si="360"/>
        <v>-133.39223173995131</v>
      </c>
      <c r="I787" s="304">
        <f t="shared" ca="1" si="361"/>
        <v>133.56793653454244</v>
      </c>
      <c r="J787" s="306">
        <f t="shared" ca="1" si="362"/>
        <v>539.267207314762</v>
      </c>
      <c r="K787" s="307">
        <f t="shared" ca="1" si="363"/>
        <v>-9.766745875651921</v>
      </c>
      <c r="L787" s="304">
        <f t="shared" ca="1" si="348"/>
        <v>539.3556435322264</v>
      </c>
      <c r="M787" s="306">
        <f t="shared" ca="1" si="364"/>
        <v>-1.5194979863143465</v>
      </c>
      <c r="N787" s="304">
        <f t="shared" ca="1" si="365"/>
        <v>-87.060821594439375</v>
      </c>
      <c r="P787" s="310">
        <f t="shared" ca="1" si="366"/>
        <v>23</v>
      </c>
      <c r="Q787" s="304">
        <f t="shared" ca="1" si="367"/>
        <v>0</v>
      </c>
      <c r="R787" s="306">
        <f t="shared" ca="1" si="368"/>
        <v>0</v>
      </c>
      <c r="S787" s="307">
        <f t="shared" ca="1" si="369"/>
        <v>6.8519999999999914</v>
      </c>
      <c r="T787" s="304">
        <f t="shared" ca="1" si="349"/>
        <v>67.218119999999914</v>
      </c>
      <c r="U787" s="311">
        <f t="shared" ca="1" si="350"/>
        <v>0</v>
      </c>
      <c r="V787" s="306">
        <f t="shared" ca="1" si="351"/>
        <v>1.2261970109148381</v>
      </c>
      <c r="W787" s="304">
        <f t="shared" ca="1" si="352"/>
        <v>54.98965633069389</v>
      </c>
      <c r="Y787" s="314" t="str">
        <f t="shared" ca="1" si="370"/>
        <v/>
      </c>
      <c r="Z787" s="315" t="str">
        <f t="shared" ca="1" si="371"/>
        <v/>
      </c>
      <c r="AA787" s="316" t="str">
        <f t="shared" ca="1" si="372"/>
        <v/>
      </c>
      <c r="AC787" s="310" t="e">
        <f t="shared" ca="1" si="373"/>
        <v>#N/A</v>
      </c>
      <c r="AD787" s="323" t="e">
        <f t="shared" ca="1" si="374"/>
        <v>#N/A</v>
      </c>
      <c r="AE787" s="324" t="e">
        <f t="shared" ca="1" si="353"/>
        <v>#N/A</v>
      </c>
      <c r="AG787" s="306">
        <f t="shared" ca="1" si="375"/>
        <v>1.7717831435065232</v>
      </c>
      <c r="AH787" s="304">
        <f t="shared" ca="1" si="376"/>
        <v>-8.025311893053507</v>
      </c>
    </row>
    <row r="788" spans="1:34" x14ac:dyDescent="0.2">
      <c r="A788" s="347">
        <f t="shared" ca="1" si="354"/>
        <v>1E-4</v>
      </c>
      <c r="B788" s="304">
        <f t="shared" ca="1" si="355"/>
        <v>39.403000000000347</v>
      </c>
      <c r="D788" s="306">
        <f t="shared" ca="1" si="356"/>
        <v>-0.41150628673835216</v>
      </c>
      <c r="E788" s="307">
        <f t="shared" ca="1" si="357"/>
        <v>-1.795213220532009</v>
      </c>
      <c r="F788" s="304">
        <f t="shared" ca="1" si="358"/>
        <v>1.8417730400888419</v>
      </c>
      <c r="G788" s="306">
        <f t="shared" ca="1" si="359"/>
        <v>6.8487676166449472</v>
      </c>
      <c r="H788" s="307">
        <f t="shared" ca="1" si="360"/>
        <v>-133.39241126127337</v>
      </c>
      <c r="I788" s="304">
        <f t="shared" ca="1" si="361"/>
        <v>133.56811370968555</v>
      </c>
      <c r="J788" s="306">
        <f t="shared" ca="1" si="362"/>
        <v>539.267207314762</v>
      </c>
      <c r="K788" s="307">
        <f t="shared" ca="1" si="363"/>
        <v>-9.7800851078019821</v>
      </c>
      <c r="L788" s="304">
        <f t="shared" ca="1" si="348"/>
        <v>539.35588524626144</v>
      </c>
      <c r="M788" s="306">
        <f t="shared" ca="1" si="364"/>
        <v>-1.5194983629132386</v>
      </c>
      <c r="N788" s="304">
        <f t="shared" ca="1" si="365"/>
        <v>-87.060843171966468</v>
      </c>
      <c r="P788" s="310">
        <f t="shared" ca="1" si="366"/>
        <v>23</v>
      </c>
      <c r="Q788" s="304">
        <f t="shared" ca="1" si="367"/>
        <v>0</v>
      </c>
      <c r="R788" s="306">
        <f t="shared" ca="1" si="368"/>
        <v>0</v>
      </c>
      <c r="S788" s="307">
        <f t="shared" ca="1" si="369"/>
        <v>6.8519999999999914</v>
      </c>
      <c r="T788" s="304">
        <f t="shared" ca="1" si="349"/>
        <v>67.218119999999914</v>
      </c>
      <c r="U788" s="311">
        <f t="shared" ca="1" si="350"/>
        <v>0</v>
      </c>
      <c r="V788" s="306">
        <f t="shared" ca="1" si="351"/>
        <v>1.2261986465689789</v>
      </c>
      <c r="W788" s="304">
        <f t="shared" ca="1" si="352"/>
        <v>54.989875568345603</v>
      </c>
      <c r="Y788" s="314" t="str">
        <f t="shared" ca="1" si="370"/>
        <v/>
      </c>
      <c r="Z788" s="315" t="str">
        <f t="shared" ca="1" si="371"/>
        <v/>
      </c>
      <c r="AA788" s="316" t="str">
        <f t="shared" ca="1" si="372"/>
        <v/>
      </c>
      <c r="AC788" s="310" t="e">
        <f t="shared" ca="1" si="373"/>
        <v>#N/A</v>
      </c>
      <c r="AD788" s="323" t="e">
        <f t="shared" ca="1" si="374"/>
        <v>#N/A</v>
      </c>
      <c r="AE788" s="324" t="e">
        <f t="shared" ca="1" si="353"/>
        <v>#N/A</v>
      </c>
      <c r="AG788" s="306">
        <f t="shared" ca="1" si="375"/>
        <v>1.7717513365210031</v>
      </c>
      <c r="AH788" s="304">
        <f t="shared" ca="1" si="376"/>
        <v>-8.0253438894766429</v>
      </c>
    </row>
    <row r="789" spans="1:34" x14ac:dyDescent="0.2">
      <c r="A789" s="347">
        <f t="shared" ca="1" si="354"/>
        <v>1E-4</v>
      </c>
      <c r="B789" s="304">
        <f t="shared" ca="1" si="355"/>
        <v>39.40310000000035</v>
      </c>
      <c r="D789" s="306">
        <f t="shared" ca="1" si="356"/>
        <v>-0.41150490899632419</v>
      </c>
      <c r="E789" s="307">
        <f t="shared" ca="1" si="357"/>
        <v>-1.7951811114945144</v>
      </c>
      <c r="F789" s="304">
        <f t="shared" ca="1" si="358"/>
        <v>1.8417414349454033</v>
      </c>
      <c r="G789" s="306">
        <f t="shared" ca="1" si="359"/>
        <v>6.8487264661540479</v>
      </c>
      <c r="H789" s="307">
        <f t="shared" ca="1" si="360"/>
        <v>-133.39259077938451</v>
      </c>
      <c r="I789" s="304">
        <f t="shared" ca="1" si="361"/>
        <v>133.56829088164801</v>
      </c>
      <c r="J789" s="306">
        <f t="shared" ca="1" si="362"/>
        <v>539.267207314762</v>
      </c>
      <c r="K789" s="307">
        <f t="shared" ca="1" si="363"/>
        <v>-9.7934243579040157</v>
      </c>
      <c r="L789" s="304">
        <f t="shared" ca="1" si="348"/>
        <v>539.35612729041702</v>
      </c>
      <c r="M789" s="306">
        <f t="shared" ca="1" si="364"/>
        <v>-1.5194987395088686</v>
      </c>
      <c r="N789" s="304">
        <f t="shared" ca="1" si="365"/>
        <v>-87.060864749306646</v>
      </c>
      <c r="P789" s="310">
        <f t="shared" ca="1" si="366"/>
        <v>23</v>
      </c>
      <c r="Q789" s="304">
        <f t="shared" ca="1" si="367"/>
        <v>0</v>
      </c>
      <c r="R789" s="306">
        <f t="shared" ca="1" si="368"/>
        <v>0</v>
      </c>
      <c r="S789" s="307">
        <f t="shared" ca="1" si="369"/>
        <v>6.8519999999999914</v>
      </c>
      <c r="T789" s="304">
        <f t="shared" ca="1" si="349"/>
        <v>67.218119999999914</v>
      </c>
      <c r="U789" s="311">
        <f t="shared" ca="1" si="350"/>
        <v>0</v>
      </c>
      <c r="V789" s="306">
        <f t="shared" ca="1" si="351"/>
        <v>1.2262002822275033</v>
      </c>
      <c r="W789" s="304">
        <f t="shared" ca="1" si="352"/>
        <v>54.990094804157671</v>
      </c>
      <c r="Y789" s="314" t="str">
        <f t="shared" ca="1" si="370"/>
        <v/>
      </c>
      <c r="Z789" s="315" t="str">
        <f t="shared" ca="1" si="371"/>
        <v/>
      </c>
      <c r="AA789" s="316" t="str">
        <f t="shared" ca="1" si="372"/>
        <v/>
      </c>
      <c r="AC789" s="310" t="e">
        <f t="shared" ca="1" si="373"/>
        <v>#N/A</v>
      </c>
      <c r="AD789" s="323" t="e">
        <f t="shared" ca="1" si="374"/>
        <v>#N/A</v>
      </c>
      <c r="AE789" s="324" t="e">
        <f t="shared" ca="1" si="353"/>
        <v>#N/A</v>
      </c>
      <c r="AG789" s="306">
        <f t="shared" ca="1" si="375"/>
        <v>1.7717195298009347</v>
      </c>
      <c r="AH789" s="304">
        <f t="shared" ca="1" si="376"/>
        <v>-8.0253758856313002</v>
      </c>
    </row>
    <row r="790" spans="1:34" x14ac:dyDescent="0.2">
      <c r="A790" s="347">
        <f t="shared" ca="1" si="354"/>
        <v>1E-4</v>
      </c>
      <c r="B790" s="304">
        <f t="shared" ca="1" si="355"/>
        <v>39.403200000000353</v>
      </c>
      <c r="D790" s="306">
        <f t="shared" ca="1" si="356"/>
        <v>-0.41150353124254857</v>
      </c>
      <c r="E790" s="307">
        <f t="shared" ca="1" si="357"/>
        <v>-1.7951490027263937</v>
      </c>
      <c r="F790" s="304">
        <f t="shared" ca="1" si="358"/>
        <v>1.8417098300803667</v>
      </c>
      <c r="G790" s="306">
        <f t="shared" ca="1" si="359"/>
        <v>6.8486853158009238</v>
      </c>
      <c r="H790" s="307">
        <f t="shared" ca="1" si="360"/>
        <v>-133.39277029428479</v>
      </c>
      <c r="I790" s="304">
        <f t="shared" ca="1" si="361"/>
        <v>133.56846805042983</v>
      </c>
      <c r="J790" s="306">
        <f t="shared" ca="1" si="362"/>
        <v>539.267207314762</v>
      </c>
      <c r="K790" s="307">
        <f t="shared" ca="1" si="363"/>
        <v>-9.8067636259577</v>
      </c>
      <c r="L790" s="304">
        <f t="shared" ca="1" si="348"/>
        <v>539.35636966469383</v>
      </c>
      <c r="M790" s="306">
        <f t="shared" ca="1" si="364"/>
        <v>-1.519499116101237</v>
      </c>
      <c r="N790" s="304">
        <f t="shared" ca="1" si="365"/>
        <v>-87.060886326459951</v>
      </c>
      <c r="P790" s="310">
        <f t="shared" ca="1" si="366"/>
        <v>23</v>
      </c>
      <c r="Q790" s="304">
        <f t="shared" ca="1" si="367"/>
        <v>0</v>
      </c>
      <c r="R790" s="306">
        <f t="shared" ca="1" si="368"/>
        <v>0</v>
      </c>
      <c r="S790" s="307">
        <f t="shared" ca="1" si="369"/>
        <v>6.8519999999999914</v>
      </c>
      <c r="T790" s="304">
        <f t="shared" ca="1" si="349"/>
        <v>67.218119999999914</v>
      </c>
      <c r="U790" s="311">
        <f t="shared" ca="1" si="350"/>
        <v>0</v>
      </c>
      <c r="V790" s="306">
        <f t="shared" ca="1" si="351"/>
        <v>1.2262019178904124</v>
      </c>
      <c r="W790" s="304">
        <f t="shared" ca="1" si="352"/>
        <v>54.990314038130109</v>
      </c>
      <c r="Y790" s="314" t="str">
        <f t="shared" ca="1" si="370"/>
        <v/>
      </c>
      <c r="Z790" s="315" t="str">
        <f t="shared" ca="1" si="371"/>
        <v/>
      </c>
      <c r="AA790" s="316" t="str">
        <f t="shared" ca="1" si="372"/>
        <v/>
      </c>
      <c r="AC790" s="310" t="e">
        <f t="shared" ca="1" si="373"/>
        <v>#N/A</v>
      </c>
      <c r="AD790" s="323" t="e">
        <f t="shared" ca="1" si="374"/>
        <v>#N/A</v>
      </c>
      <c r="AE790" s="324" t="e">
        <f t="shared" ca="1" si="353"/>
        <v>#N/A</v>
      </c>
      <c r="AG790" s="306">
        <f t="shared" ca="1" si="375"/>
        <v>1.7716877233463144</v>
      </c>
      <c r="AH790" s="304">
        <f t="shared" ca="1" si="376"/>
        <v>-8.0254078815174754</v>
      </c>
    </row>
    <row r="791" spans="1:34" x14ac:dyDescent="0.2">
      <c r="A791" s="347">
        <f t="shared" ca="1" si="354"/>
        <v>1E-4</v>
      </c>
      <c r="B791" s="304">
        <f t="shared" ca="1" si="355"/>
        <v>39.403300000000357</v>
      </c>
      <c r="D791" s="306">
        <f t="shared" ca="1" si="356"/>
        <v>-0.41150215347702235</v>
      </c>
      <c r="E791" s="307">
        <f t="shared" ca="1" si="357"/>
        <v>-1.795116894227645</v>
      </c>
      <c r="F791" s="304">
        <f t="shared" ca="1" si="358"/>
        <v>1.8416782254937296</v>
      </c>
      <c r="G791" s="306">
        <f t="shared" ca="1" si="359"/>
        <v>6.8486441655855756</v>
      </c>
      <c r="H791" s="307">
        <f t="shared" ca="1" si="360"/>
        <v>-133.39294980597421</v>
      </c>
      <c r="I791" s="304">
        <f t="shared" ca="1" si="361"/>
        <v>133.56864521603103</v>
      </c>
      <c r="J791" s="306">
        <f t="shared" ca="1" si="362"/>
        <v>539.267207314762</v>
      </c>
      <c r="K791" s="307">
        <f t="shared" ca="1" si="363"/>
        <v>-9.8201029119627137</v>
      </c>
      <c r="L791" s="304">
        <f t="shared" ca="1" si="348"/>
        <v>539.356612369093</v>
      </c>
      <c r="M791" s="306">
        <f t="shared" ca="1" si="364"/>
        <v>-1.5194994926903436</v>
      </c>
      <c r="N791" s="304">
        <f t="shared" ca="1" si="365"/>
        <v>-87.060907903426369</v>
      </c>
      <c r="P791" s="310">
        <f t="shared" ca="1" si="366"/>
        <v>23</v>
      </c>
      <c r="Q791" s="304">
        <f t="shared" ca="1" si="367"/>
        <v>0</v>
      </c>
      <c r="R791" s="306">
        <f t="shared" ca="1" si="368"/>
        <v>0</v>
      </c>
      <c r="S791" s="307">
        <f t="shared" ca="1" si="369"/>
        <v>6.8519999999999914</v>
      </c>
      <c r="T791" s="304">
        <f t="shared" ca="1" si="349"/>
        <v>67.218119999999914</v>
      </c>
      <c r="U791" s="311">
        <f t="shared" ca="1" si="350"/>
        <v>0</v>
      </c>
      <c r="V791" s="306">
        <f t="shared" ca="1" si="351"/>
        <v>1.2262035535577054</v>
      </c>
      <c r="W791" s="304">
        <f t="shared" ca="1" si="352"/>
        <v>54.990533270262922</v>
      </c>
      <c r="Y791" s="314" t="str">
        <f t="shared" ca="1" si="370"/>
        <v/>
      </c>
      <c r="Z791" s="315" t="str">
        <f t="shared" ca="1" si="371"/>
        <v/>
      </c>
      <c r="AA791" s="316" t="str">
        <f t="shared" ca="1" si="372"/>
        <v/>
      </c>
      <c r="AC791" s="310" t="e">
        <f t="shared" ca="1" si="373"/>
        <v>#N/A</v>
      </c>
      <c r="AD791" s="323" t="e">
        <f t="shared" ca="1" si="374"/>
        <v>#N/A</v>
      </c>
      <c r="AE791" s="324" t="e">
        <f t="shared" ca="1" si="353"/>
        <v>#N/A</v>
      </c>
      <c r="AG791" s="306">
        <f t="shared" ca="1" si="375"/>
        <v>1.7716559171571475</v>
      </c>
      <c r="AH791" s="304">
        <f t="shared" ca="1" si="376"/>
        <v>-8.0254398771351685</v>
      </c>
    </row>
    <row r="792" spans="1:34" x14ac:dyDescent="0.2">
      <c r="A792" s="347">
        <f t="shared" ca="1" si="354"/>
        <v>1E-4</v>
      </c>
      <c r="B792" s="304">
        <f t="shared" ca="1" si="355"/>
        <v>39.40340000000036</v>
      </c>
      <c r="D792" s="306">
        <f t="shared" ca="1" si="356"/>
        <v>-0.41150077569974819</v>
      </c>
      <c r="E792" s="307">
        <f t="shared" ca="1" si="357"/>
        <v>-1.7950847859982648</v>
      </c>
      <c r="F792" s="304">
        <f t="shared" ca="1" si="358"/>
        <v>1.8416466211854896</v>
      </c>
      <c r="G792" s="306">
        <f t="shared" ca="1" si="359"/>
        <v>6.8486030155080053</v>
      </c>
      <c r="H792" s="307">
        <f t="shared" ca="1" si="360"/>
        <v>-133.39312931445281</v>
      </c>
      <c r="I792" s="304">
        <f t="shared" ca="1" si="361"/>
        <v>133.56882237845161</v>
      </c>
      <c r="J792" s="306">
        <f t="shared" ca="1" si="362"/>
        <v>539.267207314762</v>
      </c>
      <c r="K792" s="307">
        <f t="shared" ca="1" si="363"/>
        <v>-9.8334422159187351</v>
      </c>
      <c r="L792" s="304">
        <f t="shared" ca="1" si="348"/>
        <v>539.35685540361521</v>
      </c>
      <c r="M792" s="306">
        <f t="shared" ca="1" si="364"/>
        <v>-1.5194998692761883</v>
      </c>
      <c r="N792" s="304">
        <f t="shared" ca="1" si="365"/>
        <v>-87.0609294802059</v>
      </c>
      <c r="P792" s="310">
        <f t="shared" ca="1" si="366"/>
        <v>23</v>
      </c>
      <c r="Q792" s="304">
        <f t="shared" ca="1" si="367"/>
        <v>0</v>
      </c>
      <c r="R792" s="306">
        <f t="shared" ca="1" si="368"/>
        <v>0</v>
      </c>
      <c r="S792" s="307">
        <f t="shared" ca="1" si="369"/>
        <v>6.8519999999999914</v>
      </c>
      <c r="T792" s="304">
        <f t="shared" ca="1" si="349"/>
        <v>67.218119999999914</v>
      </c>
      <c r="U792" s="311">
        <f t="shared" ca="1" si="350"/>
        <v>0</v>
      </c>
      <c r="V792" s="306">
        <f t="shared" ca="1" si="351"/>
        <v>1.2262051892293826</v>
      </c>
      <c r="W792" s="304">
        <f t="shared" ca="1" si="352"/>
        <v>54.990752500556084</v>
      </c>
      <c r="Y792" s="314" t="str">
        <f t="shared" ca="1" si="370"/>
        <v/>
      </c>
      <c r="Z792" s="315" t="str">
        <f t="shared" ca="1" si="371"/>
        <v/>
      </c>
      <c r="AA792" s="316" t="str">
        <f t="shared" ca="1" si="372"/>
        <v/>
      </c>
      <c r="AC792" s="310" t="e">
        <f t="shared" ca="1" si="373"/>
        <v>#N/A</v>
      </c>
      <c r="AD792" s="323" t="e">
        <f t="shared" ca="1" si="374"/>
        <v>#N/A</v>
      </c>
      <c r="AE792" s="324" t="e">
        <f t="shared" ca="1" si="353"/>
        <v>#N/A</v>
      </c>
      <c r="AG792" s="306">
        <f t="shared" ca="1" si="375"/>
        <v>1.7716241112334306</v>
      </c>
      <c r="AH792" s="304">
        <f t="shared" ca="1" si="376"/>
        <v>-8.025471872484383</v>
      </c>
    </row>
    <row r="793" spans="1:34" x14ac:dyDescent="0.2">
      <c r="A793" s="347">
        <f t="shared" ca="1" si="354"/>
        <v>1E-4</v>
      </c>
      <c r="B793" s="304">
        <f t="shared" ca="1" si="355"/>
        <v>39.403500000000363</v>
      </c>
      <c r="D793" s="306">
        <f t="shared" ca="1" si="356"/>
        <v>-0.41149939791072632</v>
      </c>
      <c r="E793" s="307">
        <f t="shared" ca="1" si="357"/>
        <v>-1.7950526780382585</v>
      </c>
      <c r="F793" s="304">
        <f t="shared" ca="1" si="358"/>
        <v>1.8416150171556525</v>
      </c>
      <c r="G793" s="306">
        <f t="shared" ca="1" si="359"/>
        <v>6.8485618655682146</v>
      </c>
      <c r="H793" s="307">
        <f t="shared" ca="1" si="360"/>
        <v>-133.3933088197206</v>
      </c>
      <c r="I793" s="304">
        <f t="shared" ca="1" si="361"/>
        <v>133.56899953769161</v>
      </c>
      <c r="J793" s="306">
        <f t="shared" ca="1" si="362"/>
        <v>539.267207314762</v>
      </c>
      <c r="K793" s="307">
        <f t="shared" ca="1" si="363"/>
        <v>-9.8467815378254446</v>
      </c>
      <c r="L793" s="304">
        <f t="shared" ca="1" si="348"/>
        <v>539.35709876826149</v>
      </c>
      <c r="M793" s="306">
        <f t="shared" ca="1" si="364"/>
        <v>-1.5195002458587714</v>
      </c>
      <c r="N793" s="304">
        <f t="shared" ca="1" si="365"/>
        <v>-87.060951056798544</v>
      </c>
      <c r="P793" s="310">
        <f t="shared" ca="1" si="366"/>
        <v>23</v>
      </c>
      <c r="Q793" s="304">
        <f t="shared" ca="1" si="367"/>
        <v>0</v>
      </c>
      <c r="R793" s="306">
        <f t="shared" ca="1" si="368"/>
        <v>0</v>
      </c>
      <c r="S793" s="307">
        <f t="shared" ca="1" si="369"/>
        <v>6.8519999999999914</v>
      </c>
      <c r="T793" s="304">
        <f t="shared" ca="1" si="349"/>
        <v>67.218119999999914</v>
      </c>
      <c r="U793" s="311">
        <f t="shared" ca="1" si="350"/>
        <v>0</v>
      </c>
      <c r="V793" s="306">
        <f t="shared" ca="1" si="351"/>
        <v>1.2262068249054434</v>
      </c>
      <c r="W793" s="304">
        <f t="shared" ca="1" si="352"/>
        <v>54.99097172900958</v>
      </c>
      <c r="Y793" s="314" t="str">
        <f t="shared" ca="1" si="370"/>
        <v/>
      </c>
      <c r="Z793" s="315" t="str">
        <f t="shared" ca="1" si="371"/>
        <v/>
      </c>
      <c r="AA793" s="316" t="str">
        <f t="shared" ca="1" si="372"/>
        <v/>
      </c>
      <c r="AC793" s="310" t="e">
        <f t="shared" ca="1" si="373"/>
        <v>#N/A</v>
      </c>
      <c r="AD793" s="323" t="e">
        <f t="shared" ca="1" si="374"/>
        <v>#N/A</v>
      </c>
      <c r="AE793" s="324" t="e">
        <f t="shared" ca="1" si="353"/>
        <v>#N/A</v>
      </c>
      <c r="AG793" s="306">
        <f t="shared" ca="1" si="375"/>
        <v>1.771592305575167</v>
      </c>
      <c r="AH793" s="304">
        <f t="shared" ca="1" si="376"/>
        <v>-8.0255038675651136</v>
      </c>
    </row>
    <row r="794" spans="1:34" x14ac:dyDescent="0.2">
      <c r="A794" s="347">
        <f t="shared" ca="1" si="354"/>
        <v>1E-4</v>
      </c>
      <c r="B794" s="304">
        <f t="shared" ca="1" si="355"/>
        <v>39.403600000000367</v>
      </c>
      <c r="D794" s="306">
        <f t="shared" ca="1" si="356"/>
        <v>-0.41149802010995545</v>
      </c>
      <c r="E794" s="307">
        <f t="shared" ca="1" si="357"/>
        <v>-1.7950205703476296</v>
      </c>
      <c r="F794" s="304">
        <f t="shared" ca="1" si="358"/>
        <v>1.8415834134042213</v>
      </c>
      <c r="G794" s="306">
        <f t="shared" ca="1" si="359"/>
        <v>6.8485207157662034</v>
      </c>
      <c r="H794" s="307">
        <f t="shared" ca="1" si="360"/>
        <v>-133.39348832177762</v>
      </c>
      <c r="I794" s="304">
        <f t="shared" ca="1" si="361"/>
        <v>133.5691766937511</v>
      </c>
      <c r="J794" s="306">
        <f t="shared" ca="1" si="362"/>
        <v>539.267207314762</v>
      </c>
      <c r="K794" s="307">
        <f t="shared" ca="1" si="363"/>
        <v>-9.8601208776825189</v>
      </c>
      <c r="L794" s="304">
        <f t="shared" ca="1" si="348"/>
        <v>539.35734246303264</v>
      </c>
      <c r="M794" s="306">
        <f t="shared" ca="1" si="364"/>
        <v>-1.5195006224380929</v>
      </c>
      <c r="N794" s="304">
        <f t="shared" ca="1" si="365"/>
        <v>-87.060972633204315</v>
      </c>
      <c r="P794" s="310">
        <f t="shared" ca="1" si="366"/>
        <v>23</v>
      </c>
      <c r="Q794" s="304">
        <f t="shared" ca="1" si="367"/>
        <v>0</v>
      </c>
      <c r="R794" s="306">
        <f t="shared" ca="1" si="368"/>
        <v>0</v>
      </c>
      <c r="S794" s="307">
        <f t="shared" ca="1" si="369"/>
        <v>6.8519999999999914</v>
      </c>
      <c r="T794" s="304">
        <f t="shared" ca="1" si="349"/>
        <v>67.218119999999914</v>
      </c>
      <c r="U794" s="311">
        <f t="shared" ca="1" si="350"/>
        <v>0</v>
      </c>
      <c r="V794" s="306">
        <f t="shared" ca="1" si="351"/>
        <v>1.2262084605858887</v>
      </c>
      <c r="W794" s="304">
        <f t="shared" ca="1" si="352"/>
        <v>54.991190955623473</v>
      </c>
      <c r="Y794" s="314" t="str">
        <f t="shared" ca="1" si="370"/>
        <v/>
      </c>
      <c r="Z794" s="315" t="str">
        <f t="shared" ca="1" si="371"/>
        <v/>
      </c>
      <c r="AA794" s="316" t="str">
        <f t="shared" ca="1" si="372"/>
        <v/>
      </c>
      <c r="AC794" s="310" t="e">
        <f t="shared" ca="1" si="373"/>
        <v>#N/A</v>
      </c>
      <c r="AD794" s="323" t="e">
        <f t="shared" ca="1" si="374"/>
        <v>#N/A</v>
      </c>
      <c r="AE794" s="324" t="e">
        <f t="shared" ca="1" si="353"/>
        <v>#N/A</v>
      </c>
      <c r="AG794" s="306">
        <f t="shared" ca="1" si="375"/>
        <v>1.7715605001823587</v>
      </c>
      <c r="AH794" s="304">
        <f t="shared" ca="1" si="376"/>
        <v>-8.0255358623773567</v>
      </c>
    </row>
    <row r="795" spans="1:34" x14ac:dyDescent="0.2">
      <c r="A795" s="347">
        <f t="shared" ca="1" si="354"/>
        <v>1E-4</v>
      </c>
      <c r="B795" s="304">
        <f t="shared" ca="1" si="355"/>
        <v>39.40370000000037</v>
      </c>
      <c r="D795" s="306">
        <f t="shared" ca="1" si="356"/>
        <v>-0.41149664229743688</v>
      </c>
      <c r="E795" s="307">
        <f t="shared" ca="1" si="357"/>
        <v>-1.7949884629263657</v>
      </c>
      <c r="F795" s="304">
        <f t="shared" ca="1" si="358"/>
        <v>1.8415518099311845</v>
      </c>
      <c r="G795" s="306">
        <f t="shared" ca="1" si="359"/>
        <v>6.8484795661019735</v>
      </c>
      <c r="H795" s="307">
        <f t="shared" ca="1" si="360"/>
        <v>-133.3936678206239</v>
      </c>
      <c r="I795" s="304">
        <f t="shared" ca="1" si="361"/>
        <v>133.56935384663007</v>
      </c>
      <c r="J795" s="306">
        <f t="shared" ca="1" si="362"/>
        <v>539.267207314762</v>
      </c>
      <c r="K795" s="307">
        <f t="shared" ca="1" si="363"/>
        <v>-9.8734602354896381</v>
      </c>
      <c r="L795" s="304">
        <f t="shared" ca="1" si="348"/>
        <v>539.35758648792944</v>
      </c>
      <c r="M795" s="306">
        <f t="shared" ca="1" si="364"/>
        <v>-1.5195009990141528</v>
      </c>
      <c r="N795" s="304">
        <f t="shared" ca="1" si="365"/>
        <v>-87.060994209423214</v>
      </c>
      <c r="P795" s="310">
        <f t="shared" ca="1" si="366"/>
        <v>23</v>
      </c>
      <c r="Q795" s="304">
        <f t="shared" ca="1" si="367"/>
        <v>0</v>
      </c>
      <c r="R795" s="306">
        <f t="shared" ca="1" si="368"/>
        <v>0</v>
      </c>
      <c r="S795" s="307">
        <f t="shared" ca="1" si="369"/>
        <v>6.8519999999999914</v>
      </c>
      <c r="T795" s="304">
        <f t="shared" ca="1" si="349"/>
        <v>67.218119999999914</v>
      </c>
      <c r="U795" s="311">
        <f t="shared" ca="1" si="350"/>
        <v>0</v>
      </c>
      <c r="V795" s="306">
        <f t="shared" ca="1" si="351"/>
        <v>1.2262100962707179</v>
      </c>
      <c r="W795" s="304">
        <f t="shared" ca="1" si="352"/>
        <v>54.991410180397729</v>
      </c>
      <c r="Y795" s="314" t="str">
        <f t="shared" ca="1" si="370"/>
        <v/>
      </c>
      <c r="Z795" s="315" t="str">
        <f t="shared" ca="1" si="371"/>
        <v/>
      </c>
      <c r="AA795" s="316" t="str">
        <f t="shared" ca="1" si="372"/>
        <v/>
      </c>
      <c r="AC795" s="310" t="e">
        <f t="shared" ca="1" si="373"/>
        <v>#N/A</v>
      </c>
      <c r="AD795" s="323" t="e">
        <f t="shared" ca="1" si="374"/>
        <v>#N/A</v>
      </c>
      <c r="AE795" s="324" t="e">
        <f t="shared" ca="1" si="353"/>
        <v>#N/A</v>
      </c>
      <c r="AG795" s="306">
        <f t="shared" ca="1" si="375"/>
        <v>1.7715286950549984</v>
      </c>
      <c r="AH795" s="304">
        <f t="shared" ca="1" si="376"/>
        <v>-8.0255678569211248</v>
      </c>
    </row>
    <row r="796" spans="1:34" x14ac:dyDescent="0.2">
      <c r="A796" s="347">
        <f t="shared" ca="1" si="354"/>
        <v>1E-4</v>
      </c>
      <c r="B796" s="304">
        <f t="shared" ca="1" si="355"/>
        <v>39.403800000000373</v>
      </c>
      <c r="D796" s="306">
        <f t="shared" ca="1" si="356"/>
        <v>-0.4114952644731707</v>
      </c>
      <c r="E796" s="307">
        <f t="shared" ca="1" si="357"/>
        <v>-1.7949563557744757</v>
      </c>
      <c r="F796" s="304">
        <f t="shared" ca="1" si="358"/>
        <v>1.8415202067365513</v>
      </c>
      <c r="G796" s="306">
        <f t="shared" ca="1" si="359"/>
        <v>6.8484384165755259</v>
      </c>
      <c r="H796" s="307">
        <f t="shared" ca="1" si="360"/>
        <v>-133.39384731625947</v>
      </c>
      <c r="I796" s="304">
        <f t="shared" ca="1" si="361"/>
        <v>133.56953099632855</v>
      </c>
      <c r="J796" s="306">
        <f t="shared" ca="1" si="362"/>
        <v>539.267207314762</v>
      </c>
      <c r="K796" s="307">
        <f t="shared" ca="1" si="363"/>
        <v>-9.8867996112464827</v>
      </c>
      <c r="L796" s="304">
        <f t="shared" ca="1" si="348"/>
        <v>539.35783084295292</v>
      </c>
      <c r="M796" s="306">
        <f t="shared" ca="1" si="364"/>
        <v>-1.5195013755869511</v>
      </c>
      <c r="N796" s="304">
        <f t="shared" ca="1" si="365"/>
        <v>-87.06101578545524</v>
      </c>
      <c r="P796" s="310">
        <f t="shared" ca="1" si="366"/>
        <v>23</v>
      </c>
      <c r="Q796" s="304">
        <f t="shared" ca="1" si="367"/>
        <v>0</v>
      </c>
      <c r="R796" s="306">
        <f t="shared" ca="1" si="368"/>
        <v>0</v>
      </c>
      <c r="S796" s="307">
        <f t="shared" ca="1" si="369"/>
        <v>6.8519999999999914</v>
      </c>
      <c r="T796" s="304">
        <f t="shared" ca="1" si="349"/>
        <v>67.218119999999914</v>
      </c>
      <c r="U796" s="311">
        <f t="shared" ca="1" si="350"/>
        <v>0</v>
      </c>
      <c r="V796" s="306">
        <f t="shared" ca="1" si="351"/>
        <v>1.2262117319599313</v>
      </c>
      <c r="W796" s="304">
        <f t="shared" ca="1" si="352"/>
        <v>54.991629403332389</v>
      </c>
      <c r="Y796" s="314" t="str">
        <f t="shared" ca="1" si="370"/>
        <v/>
      </c>
      <c r="Z796" s="315" t="str">
        <f t="shared" ca="1" si="371"/>
        <v/>
      </c>
      <c r="AA796" s="316" t="str">
        <f t="shared" ca="1" si="372"/>
        <v/>
      </c>
      <c r="AC796" s="310" t="e">
        <f t="shared" ca="1" si="373"/>
        <v>#N/A</v>
      </c>
      <c r="AD796" s="323" t="e">
        <f t="shared" ca="1" si="374"/>
        <v>#N/A</v>
      </c>
      <c r="AE796" s="324" t="e">
        <f t="shared" ca="1" si="353"/>
        <v>#N/A</v>
      </c>
      <c r="AG796" s="306">
        <f t="shared" ca="1" si="375"/>
        <v>1.7714968901930899</v>
      </c>
      <c r="AH796" s="304">
        <f t="shared" ca="1" si="376"/>
        <v>-8.0255998511964091</v>
      </c>
    </row>
    <row r="797" spans="1:34" x14ac:dyDescent="0.2">
      <c r="A797" s="347">
        <f t="shared" ca="1" si="354"/>
        <v>1E-4</v>
      </c>
      <c r="B797" s="304">
        <f t="shared" ca="1" si="355"/>
        <v>39.403900000000377</v>
      </c>
      <c r="D797" s="306">
        <f t="shared" ca="1" si="356"/>
        <v>-0.41149388663715808</v>
      </c>
      <c r="E797" s="307">
        <f t="shared" ca="1" si="357"/>
        <v>-1.7949242488919506</v>
      </c>
      <c r="F797" s="304">
        <f t="shared" ca="1" si="358"/>
        <v>1.8414886038203133</v>
      </c>
      <c r="G797" s="306">
        <f t="shared" ca="1" si="359"/>
        <v>6.8483972671868623</v>
      </c>
      <c r="H797" s="307">
        <f t="shared" ca="1" si="360"/>
        <v>-133.39402680868434</v>
      </c>
      <c r="I797" s="304">
        <f t="shared" ca="1" si="361"/>
        <v>133.56970814284657</v>
      </c>
      <c r="J797" s="306">
        <f t="shared" ca="1" si="362"/>
        <v>539.267207314762</v>
      </c>
      <c r="K797" s="307">
        <f t="shared" ca="1" si="363"/>
        <v>-9.9001390049527291</v>
      </c>
      <c r="L797" s="304">
        <f t="shared" ca="1" si="348"/>
        <v>539.35807552810388</v>
      </c>
      <c r="M797" s="306">
        <f t="shared" ca="1" si="364"/>
        <v>-1.5195017521564878</v>
      </c>
      <c r="N797" s="304">
        <f t="shared" ca="1" si="365"/>
        <v>-87.061037361300379</v>
      </c>
      <c r="P797" s="310">
        <f t="shared" ca="1" si="366"/>
        <v>23</v>
      </c>
      <c r="Q797" s="304">
        <f t="shared" ca="1" si="367"/>
        <v>0</v>
      </c>
      <c r="R797" s="306">
        <f t="shared" ca="1" si="368"/>
        <v>0</v>
      </c>
      <c r="S797" s="307">
        <f t="shared" ca="1" si="369"/>
        <v>6.8519999999999914</v>
      </c>
      <c r="T797" s="304">
        <f t="shared" ca="1" si="349"/>
        <v>67.218119999999914</v>
      </c>
      <c r="U797" s="311">
        <f t="shared" ca="1" si="350"/>
        <v>0</v>
      </c>
      <c r="V797" s="306">
        <f t="shared" ca="1" si="351"/>
        <v>1.2262133676535285</v>
      </c>
      <c r="W797" s="304">
        <f t="shared" ca="1" si="352"/>
        <v>54.991848624427405</v>
      </c>
      <c r="Y797" s="314" t="str">
        <f t="shared" ca="1" si="370"/>
        <v/>
      </c>
      <c r="Z797" s="315" t="str">
        <f t="shared" ca="1" si="371"/>
        <v/>
      </c>
      <c r="AA797" s="316" t="str">
        <f t="shared" ca="1" si="372"/>
        <v/>
      </c>
      <c r="AC797" s="310" t="e">
        <f t="shared" ca="1" si="373"/>
        <v>#N/A</v>
      </c>
      <c r="AD797" s="323" t="e">
        <f t="shared" ca="1" si="374"/>
        <v>#N/A</v>
      </c>
      <c r="AE797" s="324" t="e">
        <f t="shared" ca="1" si="353"/>
        <v>#N/A</v>
      </c>
      <c r="AG797" s="306">
        <f t="shared" ca="1" si="375"/>
        <v>1.7714650855966276</v>
      </c>
      <c r="AH797" s="304">
        <f t="shared" ca="1" si="376"/>
        <v>-8.02563184520322</v>
      </c>
    </row>
    <row r="798" spans="1:34" x14ac:dyDescent="0.2">
      <c r="A798" s="347">
        <f t="shared" ca="1" si="354"/>
        <v>1E-4</v>
      </c>
      <c r="B798" s="304">
        <f t="shared" ca="1" si="355"/>
        <v>39.40400000000038</v>
      </c>
      <c r="D798" s="306">
        <f t="shared" ca="1" si="356"/>
        <v>-0.41149250878939903</v>
      </c>
      <c r="E798" s="307">
        <f t="shared" ca="1" si="357"/>
        <v>-1.7948921422787993</v>
      </c>
      <c r="F798" s="304">
        <f t="shared" ca="1" si="358"/>
        <v>1.8414570011824798</v>
      </c>
      <c r="G798" s="306">
        <f t="shared" ca="1" si="359"/>
        <v>6.8483561179359835</v>
      </c>
      <c r="H798" s="307">
        <f t="shared" ca="1" si="360"/>
        <v>-133.39420629789856</v>
      </c>
      <c r="I798" s="304">
        <f t="shared" ca="1" si="361"/>
        <v>133.56988528618416</v>
      </c>
      <c r="J798" s="306">
        <f t="shared" ca="1" si="362"/>
        <v>539.267207314762</v>
      </c>
      <c r="K798" s="307">
        <f t="shared" ca="1" si="363"/>
        <v>-9.9134784166080578</v>
      </c>
      <c r="L798" s="304">
        <f t="shared" ca="1" si="348"/>
        <v>539.35832054338334</v>
      </c>
      <c r="M798" s="306">
        <f t="shared" ca="1" si="364"/>
        <v>-1.519502128722763</v>
      </c>
      <c r="N798" s="304">
        <f t="shared" ca="1" si="365"/>
        <v>-87.061058936958659</v>
      </c>
      <c r="P798" s="310">
        <f t="shared" ca="1" si="366"/>
        <v>23</v>
      </c>
      <c r="Q798" s="304">
        <f t="shared" ca="1" si="367"/>
        <v>0</v>
      </c>
      <c r="R798" s="306">
        <f t="shared" ca="1" si="368"/>
        <v>0</v>
      </c>
      <c r="S798" s="307">
        <f t="shared" ca="1" si="369"/>
        <v>6.8519999999999914</v>
      </c>
      <c r="T798" s="304">
        <f t="shared" ca="1" si="349"/>
        <v>67.218119999999914</v>
      </c>
      <c r="U798" s="311">
        <f t="shared" ca="1" si="350"/>
        <v>0</v>
      </c>
      <c r="V798" s="306">
        <f t="shared" ca="1" si="351"/>
        <v>1.2262150033515098</v>
      </c>
      <c r="W798" s="304">
        <f t="shared" ca="1" si="352"/>
        <v>54.992067843682818</v>
      </c>
      <c r="Y798" s="314" t="str">
        <f t="shared" ca="1" si="370"/>
        <v/>
      </c>
      <c r="Z798" s="315" t="str">
        <f t="shared" ca="1" si="371"/>
        <v/>
      </c>
      <c r="AA798" s="316" t="str">
        <f t="shared" ca="1" si="372"/>
        <v/>
      </c>
      <c r="AC798" s="310" t="e">
        <f t="shared" ca="1" si="373"/>
        <v>#N/A</v>
      </c>
      <c r="AD798" s="323" t="e">
        <f t="shared" ca="1" si="374"/>
        <v>#N/A</v>
      </c>
      <c r="AE798" s="324" t="e">
        <f t="shared" ca="1" si="353"/>
        <v>#N/A</v>
      </c>
      <c r="AG798" s="306">
        <f t="shared" ca="1" si="375"/>
        <v>1.7714332812656171</v>
      </c>
      <c r="AH798" s="304">
        <f t="shared" ca="1" si="376"/>
        <v>-8.0256638389415453</v>
      </c>
    </row>
    <row r="799" spans="1:34" x14ac:dyDescent="0.2">
      <c r="A799" s="347">
        <f t="shared" ca="1" si="354"/>
        <v>1E-4</v>
      </c>
      <c r="B799" s="304">
        <f t="shared" ca="1" si="355"/>
        <v>39.404100000000383</v>
      </c>
      <c r="D799" s="306">
        <f t="shared" ca="1" si="356"/>
        <v>-0.41149113092989292</v>
      </c>
      <c r="E799" s="307">
        <f t="shared" ca="1" si="357"/>
        <v>-1.7948600359350131</v>
      </c>
      <c r="F799" s="304">
        <f t="shared" ca="1" si="358"/>
        <v>1.8414253988230418</v>
      </c>
      <c r="G799" s="306">
        <f t="shared" ca="1" si="359"/>
        <v>6.8483149688228906</v>
      </c>
      <c r="H799" s="307">
        <f t="shared" ca="1" si="360"/>
        <v>-133.39438578390215</v>
      </c>
      <c r="I799" s="304">
        <f t="shared" ca="1" si="361"/>
        <v>133.57006242634134</v>
      </c>
      <c r="J799" s="306">
        <f t="shared" ca="1" si="362"/>
        <v>539.267207314762</v>
      </c>
      <c r="K799" s="307">
        <f t="shared" ca="1" si="363"/>
        <v>-9.9268178462121472</v>
      </c>
      <c r="L799" s="304">
        <f t="shared" ca="1" si="348"/>
        <v>539.35856588879199</v>
      </c>
      <c r="M799" s="306">
        <f t="shared" ca="1" si="364"/>
        <v>-1.5195025052857769</v>
      </c>
      <c r="N799" s="304">
        <f t="shared" ca="1" si="365"/>
        <v>-87.061080512430081</v>
      </c>
      <c r="P799" s="310">
        <f t="shared" ca="1" si="366"/>
        <v>23</v>
      </c>
      <c r="Q799" s="304">
        <f t="shared" ca="1" si="367"/>
        <v>0</v>
      </c>
      <c r="R799" s="306">
        <f t="shared" ca="1" si="368"/>
        <v>0</v>
      </c>
      <c r="S799" s="307">
        <f t="shared" ca="1" si="369"/>
        <v>6.8519999999999914</v>
      </c>
      <c r="T799" s="304">
        <f t="shared" ca="1" si="349"/>
        <v>67.218119999999914</v>
      </c>
      <c r="U799" s="311">
        <f t="shared" ca="1" si="350"/>
        <v>0</v>
      </c>
      <c r="V799" s="306">
        <f t="shared" ca="1" si="351"/>
        <v>1.2262166390538747</v>
      </c>
      <c r="W799" s="304">
        <f t="shared" ca="1" si="352"/>
        <v>54.992287061098594</v>
      </c>
      <c r="Y799" s="314" t="str">
        <f t="shared" ca="1" si="370"/>
        <v/>
      </c>
      <c r="Z799" s="315" t="str">
        <f t="shared" ca="1" si="371"/>
        <v/>
      </c>
      <c r="AA799" s="316" t="str">
        <f t="shared" ca="1" si="372"/>
        <v/>
      </c>
      <c r="AC799" s="310" t="e">
        <f t="shared" ca="1" si="373"/>
        <v>#N/A</v>
      </c>
      <c r="AD799" s="323" t="e">
        <f t="shared" ca="1" si="374"/>
        <v>#N/A</v>
      </c>
      <c r="AE799" s="324" t="e">
        <f t="shared" ca="1" si="353"/>
        <v>#N/A</v>
      </c>
      <c r="AG799" s="306">
        <f t="shared" ca="1" si="375"/>
        <v>1.7714014772000546</v>
      </c>
      <c r="AH799" s="304">
        <f t="shared" ca="1" si="376"/>
        <v>-8.0256958324113956</v>
      </c>
    </row>
    <row r="800" spans="1:34" x14ac:dyDescent="0.2">
      <c r="A800" s="347">
        <f t="shared" ca="1" si="354"/>
        <v>1E-4</v>
      </c>
      <c r="B800" s="304">
        <f t="shared" ca="1" si="355"/>
        <v>39.404200000000387</v>
      </c>
      <c r="D800" s="306">
        <f t="shared" ca="1" si="356"/>
        <v>-0.41148975305863994</v>
      </c>
      <c r="E800" s="307">
        <f t="shared" ca="1" si="357"/>
        <v>-1.7948279298606007</v>
      </c>
      <c r="F800" s="304">
        <f t="shared" ca="1" si="358"/>
        <v>1.8413937967420086</v>
      </c>
      <c r="G800" s="306">
        <f t="shared" ca="1" si="359"/>
        <v>6.8482738198475843</v>
      </c>
      <c r="H800" s="307">
        <f t="shared" ca="1" si="360"/>
        <v>-133.39456526669514</v>
      </c>
      <c r="I800" s="304">
        <f t="shared" ca="1" si="361"/>
        <v>133.57023956331815</v>
      </c>
      <c r="J800" s="306">
        <f t="shared" ca="1" si="362"/>
        <v>539.267207314762</v>
      </c>
      <c r="K800" s="307">
        <f t="shared" ca="1" si="363"/>
        <v>-9.9401572937646776</v>
      </c>
      <c r="L800" s="304">
        <f t="shared" ca="1" si="348"/>
        <v>539.35881156433084</v>
      </c>
      <c r="M800" s="306">
        <f t="shared" ca="1" si="364"/>
        <v>-1.5195028818455294</v>
      </c>
      <c r="N800" s="304">
        <f t="shared" ca="1" si="365"/>
        <v>-87.06110208771463</v>
      </c>
      <c r="P800" s="310">
        <f t="shared" ca="1" si="366"/>
        <v>23</v>
      </c>
      <c r="Q800" s="304">
        <f t="shared" ca="1" si="367"/>
        <v>0</v>
      </c>
      <c r="R800" s="306">
        <f t="shared" ca="1" si="368"/>
        <v>0</v>
      </c>
      <c r="S800" s="307">
        <f t="shared" ca="1" si="369"/>
        <v>6.8519999999999914</v>
      </c>
      <c r="T800" s="304">
        <f t="shared" ca="1" si="349"/>
        <v>67.218119999999914</v>
      </c>
      <c r="U800" s="311">
        <f t="shared" ca="1" si="350"/>
        <v>0</v>
      </c>
      <c r="V800" s="306">
        <f t="shared" ca="1" si="351"/>
        <v>1.2262182747606234</v>
      </c>
      <c r="W800" s="304">
        <f t="shared" ca="1" si="352"/>
        <v>54.992506276674753</v>
      </c>
      <c r="Y800" s="314" t="str">
        <f t="shared" ca="1" si="370"/>
        <v/>
      </c>
      <c r="Z800" s="315" t="str">
        <f t="shared" ca="1" si="371"/>
        <v/>
      </c>
      <c r="AA800" s="316" t="str">
        <f t="shared" ca="1" si="372"/>
        <v/>
      </c>
      <c r="AC800" s="310" t="e">
        <f t="shared" ca="1" si="373"/>
        <v>#N/A</v>
      </c>
      <c r="AD800" s="323" t="e">
        <f t="shared" ca="1" si="374"/>
        <v>#N/A</v>
      </c>
      <c r="AE800" s="324" t="e">
        <f t="shared" ca="1" si="353"/>
        <v>#N/A</v>
      </c>
      <c r="AG800" s="306">
        <f t="shared" ca="1" si="375"/>
        <v>1.7713696733999456</v>
      </c>
      <c r="AH800" s="304">
        <f t="shared" ca="1" si="376"/>
        <v>-8.0257278256127638</v>
      </c>
    </row>
    <row r="801" spans="1:34" x14ac:dyDescent="0.2">
      <c r="A801" s="347">
        <f t="shared" ca="1" si="354"/>
        <v>1E-4</v>
      </c>
      <c r="B801" s="304">
        <f t="shared" ca="1" si="355"/>
        <v>39.40430000000039</v>
      </c>
      <c r="D801" s="306">
        <f t="shared" ca="1" si="356"/>
        <v>-0.41148837517564107</v>
      </c>
      <c r="E801" s="307">
        <f t="shared" ca="1" si="357"/>
        <v>-1.794795824055555</v>
      </c>
      <c r="F801" s="304">
        <f t="shared" ca="1" si="358"/>
        <v>1.8413621949393737</v>
      </c>
      <c r="G801" s="306">
        <f t="shared" ca="1" si="359"/>
        <v>6.8482326710100665</v>
      </c>
      <c r="H801" s="307">
        <f t="shared" ca="1" si="360"/>
        <v>-133.39474474627755</v>
      </c>
      <c r="I801" s="304">
        <f t="shared" ca="1" si="361"/>
        <v>133.57041669711461</v>
      </c>
      <c r="J801" s="306">
        <f t="shared" ca="1" si="362"/>
        <v>539.267207314762</v>
      </c>
      <c r="K801" s="307">
        <f t="shared" ca="1" si="363"/>
        <v>-9.9534967592653256</v>
      </c>
      <c r="L801" s="304">
        <f t="shared" ca="1" si="348"/>
        <v>539.35905757000057</v>
      </c>
      <c r="M801" s="306">
        <f t="shared" ca="1" si="364"/>
        <v>-1.5195032584020205</v>
      </c>
      <c r="N801" s="304">
        <f t="shared" ca="1" si="365"/>
        <v>-87.061123662812321</v>
      </c>
      <c r="P801" s="310">
        <f t="shared" ca="1" si="366"/>
        <v>23</v>
      </c>
      <c r="Q801" s="304">
        <f t="shared" ca="1" si="367"/>
        <v>0</v>
      </c>
      <c r="R801" s="306">
        <f t="shared" ca="1" si="368"/>
        <v>0</v>
      </c>
      <c r="S801" s="307">
        <f t="shared" ca="1" si="369"/>
        <v>6.8519999999999914</v>
      </c>
      <c r="T801" s="304">
        <f t="shared" ca="1" si="349"/>
        <v>67.218119999999914</v>
      </c>
      <c r="U801" s="311">
        <f t="shared" ca="1" si="350"/>
        <v>0</v>
      </c>
      <c r="V801" s="306">
        <f t="shared" ca="1" si="351"/>
        <v>1.2262199104717566</v>
      </c>
      <c r="W801" s="304">
        <f t="shared" ca="1" si="352"/>
        <v>54.992725490411331</v>
      </c>
      <c r="Y801" s="314" t="str">
        <f t="shared" ca="1" si="370"/>
        <v/>
      </c>
      <c r="Z801" s="315" t="str">
        <f t="shared" ca="1" si="371"/>
        <v/>
      </c>
      <c r="AA801" s="316" t="str">
        <f t="shared" ca="1" si="372"/>
        <v/>
      </c>
      <c r="AC801" s="310" t="e">
        <f t="shared" ca="1" si="373"/>
        <v>#N/A</v>
      </c>
      <c r="AD801" s="323" t="e">
        <f t="shared" ca="1" si="374"/>
        <v>#N/A</v>
      </c>
      <c r="AE801" s="324" t="e">
        <f t="shared" ca="1" si="353"/>
        <v>#N/A</v>
      </c>
      <c r="AG801" s="306">
        <f t="shared" ca="1" si="375"/>
        <v>1.7713378698652846</v>
      </c>
      <c r="AH801" s="304">
        <f t="shared" ca="1" si="376"/>
        <v>-8.0257598185456533</v>
      </c>
    </row>
    <row r="802" spans="1:34" x14ac:dyDescent="0.2">
      <c r="A802" s="347">
        <f t="shared" ca="1" si="354"/>
        <v>1E-4</v>
      </c>
      <c r="B802" s="304">
        <f t="shared" ca="1" si="355"/>
        <v>39.404400000000393</v>
      </c>
      <c r="D802" s="306">
        <f t="shared" ca="1" si="356"/>
        <v>-0.41148699728089699</v>
      </c>
      <c r="E802" s="307">
        <f t="shared" ca="1" si="357"/>
        <v>-1.7947637185198744</v>
      </c>
      <c r="F802" s="304">
        <f t="shared" ca="1" si="358"/>
        <v>1.8413305934151356</v>
      </c>
      <c r="G802" s="306">
        <f t="shared" ca="1" si="359"/>
        <v>6.848191522310338</v>
      </c>
      <c r="H802" s="307">
        <f t="shared" ca="1" si="360"/>
        <v>-133.39492422264939</v>
      </c>
      <c r="I802" s="304">
        <f t="shared" ca="1" si="361"/>
        <v>133.57059382773073</v>
      </c>
      <c r="J802" s="306">
        <f t="shared" ca="1" si="362"/>
        <v>539.267207314762</v>
      </c>
      <c r="K802" s="307">
        <f t="shared" ca="1" si="363"/>
        <v>-9.9668362427137716</v>
      </c>
      <c r="L802" s="304">
        <f t="shared" ca="1" si="348"/>
        <v>539.35930390580222</v>
      </c>
      <c r="M802" s="306">
        <f t="shared" ca="1" si="364"/>
        <v>-1.5195036349552502</v>
      </c>
      <c r="N802" s="304">
        <f t="shared" ca="1" si="365"/>
        <v>-87.061145237723139</v>
      </c>
      <c r="P802" s="310">
        <f t="shared" ca="1" si="366"/>
        <v>23</v>
      </c>
      <c r="Q802" s="304">
        <f t="shared" ca="1" si="367"/>
        <v>0</v>
      </c>
      <c r="R802" s="306">
        <f t="shared" ca="1" si="368"/>
        <v>0</v>
      </c>
      <c r="S802" s="307">
        <f t="shared" ca="1" si="369"/>
        <v>6.8519999999999914</v>
      </c>
      <c r="T802" s="304">
        <f t="shared" ca="1" si="349"/>
        <v>67.218119999999914</v>
      </c>
      <c r="U802" s="311">
        <f t="shared" ca="1" si="350"/>
        <v>0</v>
      </c>
      <c r="V802" s="306">
        <f t="shared" ca="1" si="351"/>
        <v>1.2262215461872732</v>
      </c>
      <c r="W802" s="304">
        <f t="shared" ca="1" si="352"/>
        <v>54.992944702308272</v>
      </c>
      <c r="Y802" s="314" t="str">
        <f t="shared" ca="1" si="370"/>
        <v/>
      </c>
      <c r="Z802" s="315" t="str">
        <f t="shared" ca="1" si="371"/>
        <v/>
      </c>
      <c r="AA802" s="316" t="str">
        <f t="shared" ca="1" si="372"/>
        <v/>
      </c>
      <c r="AC802" s="310" t="e">
        <f t="shared" ca="1" si="373"/>
        <v>#N/A</v>
      </c>
      <c r="AD802" s="323" t="e">
        <f t="shared" ca="1" si="374"/>
        <v>#N/A</v>
      </c>
      <c r="AE802" s="324" t="e">
        <f t="shared" ca="1" si="353"/>
        <v>#N/A</v>
      </c>
      <c r="AG802" s="306">
        <f t="shared" ca="1" si="375"/>
        <v>1.7713060665960665</v>
      </c>
      <c r="AH802" s="304">
        <f t="shared" ca="1" si="376"/>
        <v>-8.0257918112100697</v>
      </c>
    </row>
    <row r="803" spans="1:34" x14ac:dyDescent="0.2">
      <c r="A803" s="347">
        <f t="shared" ca="1" si="354"/>
        <v>1E-4</v>
      </c>
      <c r="B803" s="304">
        <f t="shared" ca="1" si="355"/>
        <v>39.404500000000397</v>
      </c>
      <c r="D803" s="306">
        <f t="shared" ca="1" si="356"/>
        <v>-0.41148561937440803</v>
      </c>
      <c r="E803" s="307">
        <f t="shared" ca="1" si="357"/>
        <v>-1.794731613253564</v>
      </c>
      <c r="F803" s="304">
        <f t="shared" ca="1" si="358"/>
        <v>1.8412989921693002</v>
      </c>
      <c r="G803" s="306">
        <f t="shared" ca="1" si="359"/>
        <v>6.8481503737484006</v>
      </c>
      <c r="H803" s="307">
        <f t="shared" ca="1" si="360"/>
        <v>-133.39510369581072</v>
      </c>
      <c r="I803" s="304">
        <f t="shared" ca="1" si="361"/>
        <v>133.57077095516655</v>
      </c>
      <c r="J803" s="306">
        <f t="shared" ca="1" si="362"/>
        <v>539.267207314762</v>
      </c>
      <c r="K803" s="307">
        <f t="shared" ca="1" si="363"/>
        <v>-9.9801757441096939</v>
      </c>
      <c r="L803" s="304">
        <f t="shared" ca="1" si="348"/>
        <v>539.35955057173669</v>
      </c>
      <c r="M803" s="306">
        <f t="shared" ca="1" si="364"/>
        <v>-1.5195040115052187</v>
      </c>
      <c r="N803" s="304">
        <f t="shared" ca="1" si="365"/>
        <v>-87.061166812447112</v>
      </c>
      <c r="P803" s="310">
        <f t="shared" ca="1" si="366"/>
        <v>23</v>
      </c>
      <c r="Q803" s="304">
        <f t="shared" ca="1" si="367"/>
        <v>0</v>
      </c>
      <c r="R803" s="306">
        <f t="shared" ca="1" si="368"/>
        <v>0</v>
      </c>
      <c r="S803" s="307">
        <f t="shared" ca="1" si="369"/>
        <v>6.8519999999999914</v>
      </c>
      <c r="T803" s="304">
        <f t="shared" ca="1" si="349"/>
        <v>67.218119999999914</v>
      </c>
      <c r="U803" s="311">
        <f t="shared" ca="1" si="350"/>
        <v>0</v>
      </c>
      <c r="V803" s="306">
        <f t="shared" ca="1" si="351"/>
        <v>1.2262231819071734</v>
      </c>
      <c r="W803" s="304">
        <f t="shared" ca="1" si="352"/>
        <v>54.993163912365581</v>
      </c>
      <c r="Y803" s="314" t="str">
        <f t="shared" ca="1" si="370"/>
        <v/>
      </c>
      <c r="Z803" s="315" t="str">
        <f t="shared" ca="1" si="371"/>
        <v/>
      </c>
      <c r="AA803" s="316" t="str">
        <f t="shared" ca="1" si="372"/>
        <v/>
      </c>
      <c r="AC803" s="310" t="e">
        <f t="shared" ca="1" si="373"/>
        <v>#N/A</v>
      </c>
      <c r="AD803" s="323" t="e">
        <f t="shared" ca="1" si="374"/>
        <v>#N/A</v>
      </c>
      <c r="AE803" s="324" t="e">
        <f t="shared" ca="1" si="353"/>
        <v>#N/A</v>
      </c>
      <c r="AG803" s="306">
        <f t="shared" ca="1" si="375"/>
        <v>1.7712742635923018</v>
      </c>
      <c r="AH803" s="304">
        <f t="shared" ca="1" si="376"/>
        <v>-8.0258238036060039</v>
      </c>
    </row>
    <row r="804" spans="1:34" x14ac:dyDescent="0.2">
      <c r="A804" s="347">
        <f t="shared" ca="1" si="354"/>
        <v>1E-4</v>
      </c>
      <c r="B804" s="304">
        <f t="shared" ca="1" si="355"/>
        <v>39.4046000000004</v>
      </c>
      <c r="D804" s="306">
        <f t="shared" ca="1" si="356"/>
        <v>-0.41148424145617296</v>
      </c>
      <c r="E804" s="307">
        <f t="shared" ca="1" si="357"/>
        <v>-1.7946995082566257</v>
      </c>
      <c r="F804" s="304">
        <f t="shared" ca="1" si="358"/>
        <v>1.8412673912018689</v>
      </c>
      <c r="G804" s="306">
        <f t="shared" ca="1" si="359"/>
        <v>6.8481092253242553</v>
      </c>
      <c r="H804" s="307">
        <f t="shared" ca="1" si="360"/>
        <v>-133.39528316576155</v>
      </c>
      <c r="I804" s="304">
        <f t="shared" ca="1" si="361"/>
        <v>133.57094807942212</v>
      </c>
      <c r="J804" s="306">
        <f t="shared" ca="1" si="362"/>
        <v>539.267207314762</v>
      </c>
      <c r="K804" s="307">
        <f t="shared" ca="1" si="363"/>
        <v>-9.9935152634527729</v>
      </c>
      <c r="L804" s="304">
        <f t="shared" ca="1" si="348"/>
        <v>539.35979756780478</v>
      </c>
      <c r="M804" s="306">
        <f t="shared" ca="1" si="364"/>
        <v>-1.5195043880519261</v>
      </c>
      <c r="N804" s="304">
        <f t="shared" ca="1" si="365"/>
        <v>-87.061188386984242</v>
      </c>
      <c r="P804" s="310">
        <f t="shared" ca="1" si="366"/>
        <v>23</v>
      </c>
      <c r="Q804" s="304">
        <f t="shared" ca="1" si="367"/>
        <v>0</v>
      </c>
      <c r="R804" s="306">
        <f t="shared" ca="1" si="368"/>
        <v>0</v>
      </c>
      <c r="S804" s="307">
        <f t="shared" ca="1" si="369"/>
        <v>6.8519999999999914</v>
      </c>
      <c r="T804" s="304">
        <f t="shared" ca="1" si="349"/>
        <v>67.218119999999914</v>
      </c>
      <c r="U804" s="311">
        <f t="shared" ca="1" si="350"/>
        <v>0</v>
      </c>
      <c r="V804" s="306">
        <f t="shared" ca="1" si="351"/>
        <v>1.2262248176314579</v>
      </c>
      <c r="W804" s="304">
        <f t="shared" ca="1" si="352"/>
        <v>54.993383120583339</v>
      </c>
      <c r="Y804" s="314" t="str">
        <f t="shared" ca="1" si="370"/>
        <v/>
      </c>
      <c r="Z804" s="315" t="str">
        <f t="shared" ca="1" si="371"/>
        <v/>
      </c>
      <c r="AA804" s="316" t="str">
        <f t="shared" ca="1" si="372"/>
        <v/>
      </c>
      <c r="AC804" s="310" t="e">
        <f t="shared" ca="1" si="373"/>
        <v>#N/A</v>
      </c>
      <c r="AD804" s="323" t="e">
        <f t="shared" ca="1" si="374"/>
        <v>#N/A</v>
      </c>
      <c r="AE804" s="324" t="e">
        <f t="shared" ca="1" si="353"/>
        <v>#N/A</v>
      </c>
      <c r="AG804" s="306">
        <f t="shared" ca="1" si="375"/>
        <v>1.771242460853987</v>
      </c>
      <c r="AH804" s="304">
        <f t="shared" ca="1" si="376"/>
        <v>-8.0258557957334578</v>
      </c>
    </row>
    <row r="805" spans="1:34" x14ac:dyDescent="0.2">
      <c r="A805" s="347">
        <f t="shared" ca="1" si="354"/>
        <v>1E-4</v>
      </c>
      <c r="B805" s="304">
        <f t="shared" ca="1" si="355"/>
        <v>39.404700000000403</v>
      </c>
      <c r="D805" s="306">
        <f t="shared" ca="1" si="356"/>
        <v>-0.41148286352619307</v>
      </c>
      <c r="E805" s="307">
        <f t="shared" ca="1" si="357"/>
        <v>-1.7946674035290471</v>
      </c>
      <c r="F805" s="304">
        <f t="shared" ca="1" si="358"/>
        <v>1.8412357905128303</v>
      </c>
      <c r="G805" s="306">
        <f t="shared" ca="1" si="359"/>
        <v>6.8480680770379028</v>
      </c>
      <c r="H805" s="307">
        <f t="shared" ca="1" si="360"/>
        <v>-133.3954626325019</v>
      </c>
      <c r="I805" s="304">
        <f t="shared" ca="1" si="361"/>
        <v>133.57112520049742</v>
      </c>
      <c r="J805" s="306">
        <f t="shared" ca="1" si="362"/>
        <v>539.267207314762</v>
      </c>
      <c r="K805" s="307">
        <f t="shared" ca="1" si="363"/>
        <v>-10.006854800742685</v>
      </c>
      <c r="L805" s="304">
        <f t="shared" ca="1" si="348"/>
        <v>539.36004489400739</v>
      </c>
      <c r="M805" s="306">
        <f t="shared" ca="1" si="364"/>
        <v>-1.5195047645953721</v>
      </c>
      <c r="N805" s="304">
        <f t="shared" ca="1" si="365"/>
        <v>-87.061209961334498</v>
      </c>
      <c r="P805" s="310">
        <f t="shared" ca="1" si="366"/>
        <v>23</v>
      </c>
      <c r="Q805" s="304">
        <f t="shared" ca="1" si="367"/>
        <v>0</v>
      </c>
      <c r="R805" s="306">
        <f t="shared" ca="1" si="368"/>
        <v>0</v>
      </c>
      <c r="S805" s="307">
        <f t="shared" ca="1" si="369"/>
        <v>6.8519999999999914</v>
      </c>
      <c r="T805" s="304">
        <f t="shared" ca="1" si="349"/>
        <v>67.218119999999914</v>
      </c>
      <c r="U805" s="311">
        <f t="shared" ca="1" si="350"/>
        <v>0</v>
      </c>
      <c r="V805" s="306">
        <f t="shared" ca="1" si="351"/>
        <v>1.2262264533601259</v>
      </c>
      <c r="W805" s="304">
        <f t="shared" ca="1" si="352"/>
        <v>54.993602326961451</v>
      </c>
      <c r="Y805" s="314" t="str">
        <f t="shared" ca="1" si="370"/>
        <v/>
      </c>
      <c r="Z805" s="315" t="str">
        <f t="shared" ca="1" si="371"/>
        <v/>
      </c>
      <c r="AA805" s="316" t="str">
        <f t="shared" ca="1" si="372"/>
        <v/>
      </c>
      <c r="AC805" s="310" t="e">
        <f t="shared" ca="1" si="373"/>
        <v>#N/A</v>
      </c>
      <c r="AD805" s="323" t="e">
        <f t="shared" ca="1" si="374"/>
        <v>#N/A</v>
      </c>
      <c r="AE805" s="324" t="e">
        <f t="shared" ca="1" si="353"/>
        <v>#N/A</v>
      </c>
      <c r="AG805" s="306">
        <f t="shared" ca="1" si="375"/>
        <v>1.7712106583811131</v>
      </c>
      <c r="AH805" s="304">
        <f t="shared" ca="1" si="376"/>
        <v>-8.0258877875924419</v>
      </c>
    </row>
    <row r="806" spans="1:34" x14ac:dyDescent="0.2">
      <c r="A806" s="347">
        <f t="shared" ca="1" si="354"/>
        <v>1E-4</v>
      </c>
      <c r="B806" s="304">
        <f t="shared" ca="1" si="355"/>
        <v>39.404800000000407</v>
      </c>
      <c r="D806" s="306">
        <f t="shared" ca="1" si="356"/>
        <v>-0.41148148558447001</v>
      </c>
      <c r="E806" s="307">
        <f t="shared" ca="1" si="357"/>
        <v>-1.7946352990708441</v>
      </c>
      <c r="F806" s="304">
        <f t="shared" ca="1" si="358"/>
        <v>1.8412041901022005</v>
      </c>
      <c r="G806" s="306">
        <f t="shared" ca="1" si="359"/>
        <v>6.8480269288893441</v>
      </c>
      <c r="H806" s="307">
        <f t="shared" ca="1" si="360"/>
        <v>-133.39564209603182</v>
      </c>
      <c r="I806" s="304">
        <f t="shared" ca="1" si="361"/>
        <v>133.57130231839253</v>
      </c>
      <c r="J806" s="306">
        <f t="shared" ca="1" si="362"/>
        <v>539.267207314762</v>
      </c>
      <c r="K806" s="307">
        <f t="shared" ca="1" si="363"/>
        <v>-10.020194355979111</v>
      </c>
      <c r="L806" s="304">
        <f t="shared" ca="1" si="348"/>
        <v>539.36029255034532</v>
      </c>
      <c r="M806" s="306">
        <f t="shared" ca="1" si="364"/>
        <v>-1.5195051411355571</v>
      </c>
      <c r="N806" s="304">
        <f t="shared" ca="1" si="365"/>
        <v>-87.061231535497924</v>
      </c>
      <c r="P806" s="310">
        <f t="shared" ca="1" si="366"/>
        <v>23</v>
      </c>
      <c r="Q806" s="304">
        <f t="shared" ca="1" si="367"/>
        <v>0</v>
      </c>
      <c r="R806" s="306">
        <f t="shared" ca="1" si="368"/>
        <v>0</v>
      </c>
      <c r="S806" s="307">
        <f t="shared" ca="1" si="369"/>
        <v>6.8519999999999914</v>
      </c>
      <c r="T806" s="304">
        <f t="shared" ca="1" si="349"/>
        <v>67.218119999999914</v>
      </c>
      <c r="U806" s="311">
        <f t="shared" ca="1" si="350"/>
        <v>0</v>
      </c>
      <c r="V806" s="306">
        <f t="shared" ca="1" si="351"/>
        <v>1.2262280890931778</v>
      </c>
      <c r="W806" s="304">
        <f t="shared" ca="1" si="352"/>
        <v>54.993821531500004</v>
      </c>
      <c r="Y806" s="314" t="str">
        <f t="shared" ca="1" si="370"/>
        <v/>
      </c>
      <c r="Z806" s="315" t="str">
        <f t="shared" ca="1" si="371"/>
        <v/>
      </c>
      <c r="AA806" s="316" t="str">
        <f t="shared" ca="1" si="372"/>
        <v/>
      </c>
      <c r="AC806" s="310" t="e">
        <f t="shared" ca="1" si="373"/>
        <v>#N/A</v>
      </c>
      <c r="AD806" s="323" t="e">
        <f t="shared" ca="1" si="374"/>
        <v>#N/A</v>
      </c>
      <c r="AE806" s="324" t="e">
        <f t="shared" ca="1" si="353"/>
        <v>#N/A</v>
      </c>
      <c r="AG806" s="306">
        <f t="shared" ca="1" si="375"/>
        <v>1.7711788561736928</v>
      </c>
      <c r="AH806" s="304">
        <f t="shared" ca="1" si="376"/>
        <v>-8.0259197791829422</v>
      </c>
    </row>
    <row r="807" spans="1:34" x14ac:dyDescent="0.2">
      <c r="A807" s="347">
        <f t="shared" ca="1" si="354"/>
        <v>1E-4</v>
      </c>
      <c r="B807" s="304">
        <f t="shared" ca="1" si="355"/>
        <v>39.40490000000041</v>
      </c>
      <c r="D807" s="306">
        <f t="shared" ca="1" si="356"/>
        <v>-0.41148010763100146</v>
      </c>
      <c r="E807" s="307">
        <f t="shared" ca="1" si="357"/>
        <v>-1.7946031948819972</v>
      </c>
      <c r="F807" s="304">
        <f t="shared" ca="1" si="358"/>
        <v>1.8411725899699605</v>
      </c>
      <c r="G807" s="306">
        <f t="shared" ca="1" si="359"/>
        <v>6.8479857808785809</v>
      </c>
      <c r="H807" s="307">
        <f t="shared" ca="1" si="360"/>
        <v>-133.39582155635131</v>
      </c>
      <c r="I807" s="304">
        <f t="shared" ca="1" si="361"/>
        <v>133.57147943310741</v>
      </c>
      <c r="J807" s="306">
        <f t="shared" ca="1" si="362"/>
        <v>539.267207314762</v>
      </c>
      <c r="K807" s="307">
        <f t="shared" ca="1" si="363"/>
        <v>-10.033533929161731</v>
      </c>
      <c r="L807" s="304">
        <f t="shared" ca="1" si="348"/>
        <v>539.3605405368196</v>
      </c>
      <c r="M807" s="306">
        <f t="shared" ca="1" si="364"/>
        <v>-1.519505517672481</v>
      </c>
      <c r="N807" s="304">
        <f t="shared" ca="1" si="365"/>
        <v>-87.061253109474492</v>
      </c>
      <c r="P807" s="310">
        <f t="shared" ca="1" si="366"/>
        <v>23</v>
      </c>
      <c r="Q807" s="304">
        <f t="shared" ca="1" si="367"/>
        <v>0</v>
      </c>
      <c r="R807" s="306">
        <f t="shared" ca="1" si="368"/>
        <v>0</v>
      </c>
      <c r="S807" s="307">
        <f t="shared" ca="1" si="369"/>
        <v>6.8519999999999914</v>
      </c>
      <c r="T807" s="304">
        <f t="shared" ca="1" si="349"/>
        <v>67.218119999999914</v>
      </c>
      <c r="U807" s="311">
        <f t="shared" ca="1" si="350"/>
        <v>0</v>
      </c>
      <c r="V807" s="306">
        <f t="shared" ca="1" si="351"/>
        <v>1.2262297248306131</v>
      </c>
      <c r="W807" s="304">
        <f t="shared" ca="1" si="352"/>
        <v>54.994040734198897</v>
      </c>
      <c r="Y807" s="314" t="str">
        <f t="shared" ca="1" si="370"/>
        <v/>
      </c>
      <c r="Z807" s="315" t="str">
        <f t="shared" ca="1" si="371"/>
        <v/>
      </c>
      <c r="AA807" s="316" t="str">
        <f t="shared" ca="1" si="372"/>
        <v/>
      </c>
      <c r="AC807" s="310" t="e">
        <f t="shared" ca="1" si="373"/>
        <v>#N/A</v>
      </c>
      <c r="AD807" s="323" t="e">
        <f t="shared" ca="1" si="374"/>
        <v>#N/A</v>
      </c>
      <c r="AE807" s="324" t="e">
        <f t="shared" ca="1" si="353"/>
        <v>#N/A</v>
      </c>
      <c r="AG807" s="306">
        <f t="shared" ca="1" si="375"/>
        <v>1.7711470542317134</v>
      </c>
      <c r="AH807" s="304">
        <f t="shared" ca="1" si="376"/>
        <v>-8.0259517705049728</v>
      </c>
    </row>
    <row r="808" spans="1:34" x14ac:dyDescent="0.2">
      <c r="A808" s="347">
        <f t="shared" ca="1" si="354"/>
        <v>1E-4</v>
      </c>
      <c r="B808" s="304">
        <f t="shared" ca="1" si="355"/>
        <v>39.405000000000413</v>
      </c>
      <c r="D808" s="306">
        <f t="shared" ca="1" si="356"/>
        <v>-0.41147872966578913</v>
      </c>
      <c r="E808" s="307">
        <f t="shared" ca="1" si="357"/>
        <v>-1.7945710909625276</v>
      </c>
      <c r="F808" s="304">
        <f t="shared" ca="1" si="358"/>
        <v>1.8411409901161313</v>
      </c>
      <c r="G808" s="306">
        <f t="shared" ca="1" si="359"/>
        <v>6.8479446330056142</v>
      </c>
      <c r="H808" s="307">
        <f t="shared" ca="1" si="360"/>
        <v>-133.39600101346039</v>
      </c>
      <c r="I808" s="304">
        <f t="shared" ca="1" si="361"/>
        <v>133.57165654464211</v>
      </c>
      <c r="J808" s="306">
        <f t="shared" ca="1" si="362"/>
        <v>539.267207314762</v>
      </c>
      <c r="K808" s="307">
        <f t="shared" ca="1" si="363"/>
        <v>-10.046873520290221</v>
      </c>
      <c r="L808" s="304">
        <f t="shared" ca="1" si="348"/>
        <v>539.36078885343079</v>
      </c>
      <c r="M808" s="306">
        <f t="shared" ca="1" si="364"/>
        <v>-1.5195058942061437</v>
      </c>
      <c r="N808" s="304">
        <f t="shared" ca="1" si="365"/>
        <v>-87.061274683264202</v>
      </c>
      <c r="P808" s="310">
        <f t="shared" ca="1" si="366"/>
        <v>23</v>
      </c>
      <c r="Q808" s="304">
        <f t="shared" ca="1" si="367"/>
        <v>0</v>
      </c>
      <c r="R808" s="306">
        <f t="shared" ca="1" si="368"/>
        <v>0</v>
      </c>
      <c r="S808" s="307">
        <f t="shared" ca="1" si="369"/>
        <v>6.8519999999999914</v>
      </c>
      <c r="T808" s="304">
        <f t="shared" ca="1" si="349"/>
        <v>67.218119999999914</v>
      </c>
      <c r="U808" s="311">
        <f t="shared" ca="1" si="350"/>
        <v>0</v>
      </c>
      <c r="V808" s="306">
        <f t="shared" ca="1" si="351"/>
        <v>1.226231360572432</v>
      </c>
      <c r="W808" s="304">
        <f t="shared" ca="1" si="352"/>
        <v>54.994259935058196</v>
      </c>
      <c r="Y808" s="314" t="str">
        <f t="shared" ca="1" si="370"/>
        <v/>
      </c>
      <c r="Z808" s="315" t="str">
        <f t="shared" ca="1" si="371"/>
        <v/>
      </c>
      <c r="AA808" s="316" t="str">
        <f t="shared" ca="1" si="372"/>
        <v/>
      </c>
      <c r="AC808" s="310" t="e">
        <f t="shared" ca="1" si="373"/>
        <v>#N/A</v>
      </c>
      <c r="AD808" s="323" t="e">
        <f t="shared" ca="1" si="374"/>
        <v>#N/A</v>
      </c>
      <c r="AE808" s="324" t="e">
        <f t="shared" ca="1" si="353"/>
        <v>#N/A</v>
      </c>
      <c r="AG808" s="306">
        <f t="shared" ca="1" si="375"/>
        <v>1.7711152525551928</v>
      </c>
      <c r="AH808" s="304">
        <f t="shared" ca="1" si="376"/>
        <v>-8.0259837615585177</v>
      </c>
    </row>
    <row r="809" spans="1:34" x14ac:dyDescent="0.2">
      <c r="A809" s="347">
        <f t="shared" ca="1" si="354"/>
        <v>1E-4</v>
      </c>
      <c r="B809" s="304">
        <f t="shared" ca="1" si="355"/>
        <v>39.405100000000417</v>
      </c>
      <c r="D809" s="306">
        <f t="shared" ca="1" si="356"/>
        <v>-0.41147735168883409</v>
      </c>
      <c r="E809" s="307">
        <f t="shared" ca="1" si="357"/>
        <v>-1.7945389873124249</v>
      </c>
      <c r="F809" s="304">
        <f t="shared" ca="1" si="358"/>
        <v>1.8411093905407034</v>
      </c>
      <c r="G809" s="306">
        <f t="shared" ca="1" si="359"/>
        <v>6.8479034852704457</v>
      </c>
      <c r="H809" s="307">
        <f t="shared" ca="1" si="360"/>
        <v>-133.39618046735913</v>
      </c>
      <c r="I809" s="304">
        <f t="shared" ca="1" si="361"/>
        <v>133.5718336529967</v>
      </c>
      <c r="J809" s="306">
        <f t="shared" ca="1" si="362"/>
        <v>539.267207314762</v>
      </c>
      <c r="K809" s="307">
        <f t="shared" ca="1" si="363"/>
        <v>-10.060213129364262</v>
      </c>
      <c r="L809" s="304">
        <f t="shared" ca="1" si="348"/>
        <v>539.36103750018015</v>
      </c>
      <c r="M809" s="306">
        <f t="shared" ca="1" si="364"/>
        <v>-1.5195062707365454</v>
      </c>
      <c r="N809" s="304">
        <f t="shared" ca="1" si="365"/>
        <v>-87.061296256867081</v>
      </c>
      <c r="P809" s="310">
        <f t="shared" ca="1" si="366"/>
        <v>23</v>
      </c>
      <c r="Q809" s="304">
        <f t="shared" ca="1" si="367"/>
        <v>0</v>
      </c>
      <c r="R809" s="306">
        <f t="shared" ca="1" si="368"/>
        <v>0</v>
      </c>
      <c r="S809" s="307">
        <f t="shared" ca="1" si="369"/>
        <v>6.8519999999999914</v>
      </c>
      <c r="T809" s="304">
        <f t="shared" ca="1" si="349"/>
        <v>67.218119999999914</v>
      </c>
      <c r="U809" s="311">
        <f t="shared" ca="1" si="350"/>
        <v>0</v>
      </c>
      <c r="V809" s="306">
        <f t="shared" ca="1" si="351"/>
        <v>1.2262329963186349</v>
      </c>
      <c r="W809" s="304">
        <f t="shared" ca="1" si="352"/>
        <v>54.99447913407792</v>
      </c>
      <c r="Y809" s="314" t="str">
        <f t="shared" ca="1" si="370"/>
        <v/>
      </c>
      <c r="Z809" s="315" t="str">
        <f t="shared" ca="1" si="371"/>
        <v/>
      </c>
      <c r="AA809" s="316" t="str">
        <f t="shared" ca="1" si="372"/>
        <v/>
      </c>
      <c r="AC809" s="310" t="e">
        <f t="shared" ca="1" si="373"/>
        <v>#N/A</v>
      </c>
      <c r="AD809" s="323" t="e">
        <f t="shared" ca="1" si="374"/>
        <v>#N/A</v>
      </c>
      <c r="AE809" s="324" t="e">
        <f t="shared" ca="1" si="353"/>
        <v>#N/A</v>
      </c>
      <c r="AG809" s="306">
        <f t="shared" ca="1" si="375"/>
        <v>1.7710834511441149</v>
      </c>
      <c r="AH809" s="304">
        <f t="shared" ca="1" si="376"/>
        <v>-8.0260157523435876</v>
      </c>
    </row>
    <row r="810" spans="1:34" x14ac:dyDescent="0.2">
      <c r="A810" s="347">
        <f t="shared" ca="1" si="354"/>
        <v>1E-4</v>
      </c>
      <c r="B810" s="304">
        <f t="shared" ca="1" si="355"/>
        <v>39.40520000000042</v>
      </c>
      <c r="D810" s="306">
        <f t="shared" ca="1" si="356"/>
        <v>-0.41147597370013544</v>
      </c>
      <c r="E810" s="307">
        <f t="shared" ca="1" si="357"/>
        <v>-1.7945068839316818</v>
      </c>
      <c r="F810" s="304">
        <f t="shared" ca="1" si="358"/>
        <v>1.8410777912436695</v>
      </c>
      <c r="G810" s="306">
        <f t="shared" ca="1" si="359"/>
        <v>6.8478623376730754</v>
      </c>
      <c r="H810" s="307">
        <f t="shared" ca="1" si="360"/>
        <v>-133.39635991804752</v>
      </c>
      <c r="I810" s="304">
        <f t="shared" ca="1" si="361"/>
        <v>133.57201075817119</v>
      </c>
      <c r="J810" s="306">
        <f t="shared" ca="1" si="362"/>
        <v>539.267207314762</v>
      </c>
      <c r="K810" s="307">
        <f t="shared" ca="1" si="363"/>
        <v>-10.073552756383533</v>
      </c>
      <c r="L810" s="304">
        <f t="shared" ca="1" si="348"/>
        <v>539.36128647706835</v>
      </c>
      <c r="M810" s="306">
        <f t="shared" ca="1" si="364"/>
        <v>-1.5195066472636862</v>
      </c>
      <c r="N810" s="304">
        <f t="shared" ca="1" si="365"/>
        <v>-87.061317830283116</v>
      </c>
      <c r="P810" s="310">
        <f t="shared" ca="1" si="366"/>
        <v>23</v>
      </c>
      <c r="Q810" s="304">
        <f t="shared" ca="1" si="367"/>
        <v>0</v>
      </c>
      <c r="R810" s="306">
        <f t="shared" ca="1" si="368"/>
        <v>0</v>
      </c>
      <c r="S810" s="307">
        <f t="shared" ca="1" si="369"/>
        <v>6.8519999999999914</v>
      </c>
      <c r="T810" s="304">
        <f t="shared" ca="1" si="349"/>
        <v>67.218119999999914</v>
      </c>
      <c r="U810" s="311">
        <f t="shared" ca="1" si="350"/>
        <v>0</v>
      </c>
      <c r="V810" s="306">
        <f t="shared" ca="1" si="351"/>
        <v>1.2262346320692215</v>
      </c>
      <c r="W810" s="304">
        <f t="shared" ca="1" si="352"/>
        <v>54.994698331258071</v>
      </c>
      <c r="Y810" s="314" t="str">
        <f t="shared" ca="1" si="370"/>
        <v/>
      </c>
      <c r="Z810" s="315" t="str">
        <f t="shared" ca="1" si="371"/>
        <v/>
      </c>
      <c r="AA810" s="316" t="str">
        <f t="shared" ca="1" si="372"/>
        <v/>
      </c>
      <c r="AC810" s="310" t="e">
        <f t="shared" ca="1" si="373"/>
        <v>#N/A</v>
      </c>
      <c r="AD810" s="323" t="e">
        <f t="shared" ca="1" si="374"/>
        <v>#N/A</v>
      </c>
      <c r="AE810" s="324" t="e">
        <f t="shared" ca="1" si="353"/>
        <v>#N/A</v>
      </c>
      <c r="AG810" s="306">
        <f t="shared" ca="1" si="375"/>
        <v>1.7710516499984816</v>
      </c>
      <c r="AH810" s="304">
        <f t="shared" ca="1" si="376"/>
        <v>-8.026047742860186</v>
      </c>
    </row>
    <row r="811" spans="1:34" x14ac:dyDescent="0.2">
      <c r="A811" s="347">
        <f t="shared" ca="1" si="354"/>
        <v>1E-4</v>
      </c>
      <c r="B811" s="304">
        <f t="shared" ca="1" si="355"/>
        <v>39.405300000000423</v>
      </c>
      <c r="D811" s="306">
        <f t="shared" ca="1" si="356"/>
        <v>-0.41147459569969358</v>
      </c>
      <c r="E811" s="307">
        <f t="shared" ca="1" si="357"/>
        <v>-1.7944747808203036</v>
      </c>
      <c r="F811" s="304">
        <f t="shared" ca="1" si="358"/>
        <v>1.8410461922250358</v>
      </c>
      <c r="G811" s="306">
        <f t="shared" ca="1" si="359"/>
        <v>6.8478211902135051</v>
      </c>
      <c r="H811" s="307">
        <f t="shared" ca="1" si="360"/>
        <v>-133.3965393655256</v>
      </c>
      <c r="I811" s="304">
        <f t="shared" ca="1" si="361"/>
        <v>133.57218786016554</v>
      </c>
      <c r="J811" s="306">
        <f t="shared" ca="1" si="362"/>
        <v>539.267207314762</v>
      </c>
      <c r="K811" s="307">
        <f t="shared" ca="1" si="363"/>
        <v>-10.086892401347711</v>
      </c>
      <c r="L811" s="304">
        <f t="shared" ca="1" si="348"/>
        <v>539.36153578409619</v>
      </c>
      <c r="M811" s="306">
        <f t="shared" ca="1" si="364"/>
        <v>-1.5195070237875661</v>
      </c>
      <c r="N811" s="304">
        <f t="shared" ca="1" si="365"/>
        <v>-87.061339403512321</v>
      </c>
      <c r="P811" s="310">
        <f t="shared" ca="1" si="366"/>
        <v>23</v>
      </c>
      <c r="Q811" s="304">
        <f t="shared" ca="1" si="367"/>
        <v>0</v>
      </c>
      <c r="R811" s="306">
        <f t="shared" ca="1" si="368"/>
        <v>0</v>
      </c>
      <c r="S811" s="307">
        <f t="shared" ca="1" si="369"/>
        <v>6.8519999999999914</v>
      </c>
      <c r="T811" s="304">
        <f t="shared" ca="1" si="349"/>
        <v>67.218119999999914</v>
      </c>
      <c r="U811" s="311">
        <f t="shared" ca="1" si="350"/>
        <v>0</v>
      </c>
      <c r="V811" s="306">
        <f t="shared" ca="1" si="351"/>
        <v>1.2262362678241914</v>
      </c>
      <c r="W811" s="304">
        <f t="shared" ca="1" si="352"/>
        <v>54.994917526598577</v>
      </c>
      <c r="Y811" s="314" t="str">
        <f t="shared" ca="1" si="370"/>
        <v/>
      </c>
      <c r="Z811" s="315" t="str">
        <f t="shared" ca="1" si="371"/>
        <v/>
      </c>
      <c r="AA811" s="316" t="str">
        <f t="shared" ca="1" si="372"/>
        <v/>
      </c>
      <c r="AC811" s="310" t="e">
        <f t="shared" ca="1" si="373"/>
        <v>#N/A</v>
      </c>
      <c r="AD811" s="323" t="e">
        <f t="shared" ca="1" si="374"/>
        <v>#N/A</v>
      </c>
      <c r="AE811" s="324" t="e">
        <f t="shared" ca="1" si="353"/>
        <v>#N/A</v>
      </c>
      <c r="AG811" s="306">
        <f t="shared" ca="1" si="375"/>
        <v>1.7710198491182929</v>
      </c>
      <c r="AH811" s="304">
        <f t="shared" ca="1" si="376"/>
        <v>-8.0260797331083094</v>
      </c>
    </row>
    <row r="812" spans="1:34" x14ac:dyDescent="0.2">
      <c r="A812" s="347">
        <f t="shared" ca="1" si="354"/>
        <v>1E-4</v>
      </c>
      <c r="B812" s="304">
        <f t="shared" ca="1" si="355"/>
        <v>39.405400000000427</v>
      </c>
      <c r="D812" s="306">
        <f t="shared" ca="1" si="356"/>
        <v>-0.41147321768750877</v>
      </c>
      <c r="E812" s="307">
        <f t="shared" ca="1" si="357"/>
        <v>-1.7944426779782958</v>
      </c>
      <c r="F812" s="304">
        <f t="shared" ca="1" si="358"/>
        <v>1.8410145934848072</v>
      </c>
      <c r="G812" s="306">
        <f t="shared" ca="1" si="359"/>
        <v>6.8477800428917366</v>
      </c>
      <c r="H812" s="307">
        <f t="shared" ca="1" si="360"/>
        <v>-133.39671880979338</v>
      </c>
      <c r="I812" s="304">
        <f t="shared" ca="1" si="361"/>
        <v>133.57236495897985</v>
      </c>
      <c r="J812" s="306">
        <f t="shared" ca="1" si="362"/>
        <v>539.267207314762</v>
      </c>
      <c r="K812" s="307">
        <f t="shared" ca="1" si="363"/>
        <v>-10.100232064256478</v>
      </c>
      <c r="L812" s="304">
        <f t="shared" ca="1" si="348"/>
        <v>539.3617854212647</v>
      </c>
      <c r="M812" s="306">
        <f t="shared" ca="1" si="364"/>
        <v>-1.519507400308185</v>
      </c>
      <c r="N812" s="304">
        <f t="shared" ca="1" si="365"/>
        <v>-87.061360976554681</v>
      </c>
      <c r="P812" s="310">
        <f t="shared" ca="1" si="366"/>
        <v>23</v>
      </c>
      <c r="Q812" s="304">
        <f t="shared" ca="1" si="367"/>
        <v>0</v>
      </c>
      <c r="R812" s="306">
        <f t="shared" ca="1" si="368"/>
        <v>0</v>
      </c>
      <c r="S812" s="307">
        <f t="shared" ca="1" si="369"/>
        <v>6.8519999999999914</v>
      </c>
      <c r="T812" s="304">
        <f t="shared" ca="1" si="349"/>
        <v>67.218119999999914</v>
      </c>
      <c r="U812" s="311">
        <f t="shared" ca="1" si="350"/>
        <v>0</v>
      </c>
      <c r="V812" s="306">
        <f t="shared" ca="1" si="351"/>
        <v>1.2262379035835445</v>
      </c>
      <c r="W812" s="304">
        <f t="shared" ca="1" si="352"/>
        <v>54.995136720099474</v>
      </c>
      <c r="Y812" s="314" t="str">
        <f t="shared" ca="1" si="370"/>
        <v/>
      </c>
      <c r="Z812" s="315" t="str">
        <f t="shared" ca="1" si="371"/>
        <v/>
      </c>
      <c r="AA812" s="316" t="str">
        <f t="shared" ca="1" si="372"/>
        <v/>
      </c>
      <c r="AC812" s="310" t="e">
        <f t="shared" ca="1" si="373"/>
        <v>#N/A</v>
      </c>
      <c r="AD812" s="323" t="e">
        <f t="shared" ca="1" si="374"/>
        <v>#N/A</v>
      </c>
      <c r="AE812" s="324" t="e">
        <f t="shared" ca="1" si="353"/>
        <v>#N/A</v>
      </c>
      <c r="AG812" s="306">
        <f t="shared" ca="1" si="375"/>
        <v>1.7709880485035576</v>
      </c>
      <c r="AH812" s="304">
        <f t="shared" ca="1" si="376"/>
        <v>-8.0261117230879524</v>
      </c>
    </row>
    <row r="813" spans="1:34" x14ac:dyDescent="0.2">
      <c r="A813" s="347">
        <f t="shared" ca="1" si="354"/>
        <v>1E-4</v>
      </c>
      <c r="B813" s="304">
        <f t="shared" ca="1" si="355"/>
        <v>39.40550000000043</v>
      </c>
      <c r="D813" s="306">
        <f t="shared" ca="1" si="356"/>
        <v>-0.41147183966358175</v>
      </c>
      <c r="E813" s="307">
        <f t="shared" ca="1" si="357"/>
        <v>-1.7944105754056601</v>
      </c>
      <c r="F813" s="304">
        <f t="shared" ca="1" si="358"/>
        <v>1.8409829950229863</v>
      </c>
      <c r="G813" s="306">
        <f t="shared" ca="1" si="359"/>
        <v>6.8477388957077698</v>
      </c>
      <c r="H813" s="307">
        <f t="shared" ca="1" si="360"/>
        <v>-133.39689825085094</v>
      </c>
      <c r="I813" s="304">
        <f t="shared" ca="1" si="361"/>
        <v>133.57254205461416</v>
      </c>
      <c r="J813" s="306">
        <f t="shared" ca="1" si="362"/>
        <v>539.267207314762</v>
      </c>
      <c r="K813" s="307">
        <f t="shared" ca="1" si="363"/>
        <v>-10.11357174510951</v>
      </c>
      <c r="L813" s="304">
        <f t="shared" ca="1" si="348"/>
        <v>539.36203538857455</v>
      </c>
      <c r="M813" s="306">
        <f t="shared" ca="1" si="364"/>
        <v>-1.5195077768255432</v>
      </c>
      <c r="N813" s="304">
        <f t="shared" ca="1" si="365"/>
        <v>-87.061382549410226</v>
      </c>
      <c r="P813" s="310">
        <f t="shared" ca="1" si="366"/>
        <v>23</v>
      </c>
      <c r="Q813" s="304">
        <f t="shared" ca="1" si="367"/>
        <v>0</v>
      </c>
      <c r="R813" s="306">
        <f t="shared" ca="1" si="368"/>
        <v>0</v>
      </c>
      <c r="S813" s="307">
        <f t="shared" ca="1" si="369"/>
        <v>6.8519999999999914</v>
      </c>
      <c r="T813" s="304">
        <f t="shared" ca="1" si="349"/>
        <v>67.218119999999914</v>
      </c>
      <c r="U813" s="311">
        <f t="shared" ca="1" si="350"/>
        <v>0</v>
      </c>
      <c r="V813" s="306">
        <f t="shared" ca="1" si="351"/>
        <v>1.2262395393472822</v>
      </c>
      <c r="W813" s="304">
        <f t="shared" ca="1" si="352"/>
        <v>54.995355911760889</v>
      </c>
      <c r="Y813" s="314" t="str">
        <f t="shared" ca="1" si="370"/>
        <v/>
      </c>
      <c r="Z813" s="315" t="str">
        <f t="shared" ca="1" si="371"/>
        <v/>
      </c>
      <c r="AA813" s="316" t="str">
        <f t="shared" ca="1" si="372"/>
        <v/>
      </c>
      <c r="AC813" s="310" t="e">
        <f t="shared" ca="1" si="373"/>
        <v>#N/A</v>
      </c>
      <c r="AD813" s="323" t="e">
        <f t="shared" ca="1" si="374"/>
        <v>#N/A</v>
      </c>
      <c r="AE813" s="324" t="e">
        <f t="shared" ca="1" si="353"/>
        <v>#N/A</v>
      </c>
      <c r="AG813" s="306">
        <f t="shared" ca="1" si="375"/>
        <v>1.7709562481542722</v>
      </c>
      <c r="AH813" s="304">
        <f t="shared" ca="1" si="376"/>
        <v>-8.0261437127991151</v>
      </c>
    </row>
    <row r="814" spans="1:34" x14ac:dyDescent="0.2">
      <c r="A814" s="347">
        <f t="shared" ca="1" si="354"/>
        <v>1E-4</v>
      </c>
      <c r="B814" s="304">
        <f t="shared" ca="1" si="355"/>
        <v>39.405600000000433</v>
      </c>
      <c r="D814" s="306">
        <f t="shared" ca="1" si="356"/>
        <v>-0.41147046162791256</v>
      </c>
      <c r="E814" s="307">
        <f t="shared" ca="1" si="357"/>
        <v>-1.7943784731023698</v>
      </c>
      <c r="F814" s="304">
        <f t="shared" ca="1" si="358"/>
        <v>1.840951396839547</v>
      </c>
      <c r="G814" s="306">
        <f t="shared" ca="1" si="359"/>
        <v>6.8476977486616066</v>
      </c>
      <c r="H814" s="307">
        <f t="shared" ca="1" si="360"/>
        <v>-133.39707768869826</v>
      </c>
      <c r="I814" s="304">
        <f t="shared" ca="1" si="361"/>
        <v>133.57271914706845</v>
      </c>
      <c r="J814" s="306">
        <f t="shared" ca="1" si="362"/>
        <v>539.267207314762</v>
      </c>
      <c r="K814" s="307">
        <f t="shared" ca="1" si="363"/>
        <v>-10.126911443906488</v>
      </c>
      <c r="L814" s="304">
        <f t="shared" ca="1" si="348"/>
        <v>539.36228568602678</v>
      </c>
      <c r="M814" s="306">
        <f t="shared" ca="1" si="364"/>
        <v>-1.5195081533396404</v>
      </c>
      <c r="N814" s="304">
        <f t="shared" ca="1" si="365"/>
        <v>-87.061404122078926</v>
      </c>
      <c r="P814" s="310">
        <f t="shared" ca="1" si="366"/>
        <v>23</v>
      </c>
      <c r="Q814" s="304">
        <f t="shared" ca="1" si="367"/>
        <v>0</v>
      </c>
      <c r="R814" s="306">
        <f t="shared" ca="1" si="368"/>
        <v>0</v>
      </c>
      <c r="S814" s="307">
        <f t="shared" ca="1" si="369"/>
        <v>6.8519999999999914</v>
      </c>
      <c r="T814" s="304">
        <f t="shared" ca="1" si="349"/>
        <v>67.218119999999914</v>
      </c>
      <c r="U814" s="311">
        <f t="shared" ca="1" si="350"/>
        <v>0</v>
      </c>
      <c r="V814" s="306">
        <f t="shared" ca="1" si="351"/>
        <v>1.2262411751154025</v>
      </c>
      <c r="W814" s="304">
        <f t="shared" ca="1" si="352"/>
        <v>54.995575101582645</v>
      </c>
      <c r="Y814" s="314" t="str">
        <f t="shared" ca="1" si="370"/>
        <v/>
      </c>
      <c r="Z814" s="315" t="str">
        <f t="shared" ca="1" si="371"/>
        <v/>
      </c>
      <c r="AA814" s="316" t="str">
        <f t="shared" ca="1" si="372"/>
        <v/>
      </c>
      <c r="AC814" s="310" t="e">
        <f t="shared" ca="1" si="373"/>
        <v>#N/A</v>
      </c>
      <c r="AD814" s="323" t="e">
        <f t="shared" ca="1" si="374"/>
        <v>#N/A</v>
      </c>
      <c r="AE814" s="324" t="e">
        <f t="shared" ca="1" si="353"/>
        <v>#N/A</v>
      </c>
      <c r="AG814" s="306">
        <f t="shared" ca="1" si="375"/>
        <v>1.7709244480704154</v>
      </c>
      <c r="AH814" s="304">
        <f t="shared" ca="1" si="376"/>
        <v>-8.0261757022418205</v>
      </c>
    </row>
    <row r="815" spans="1:34" x14ac:dyDescent="0.2">
      <c r="A815" s="347">
        <f t="shared" ca="1" si="354"/>
        <v>1E-4</v>
      </c>
      <c r="B815" s="304">
        <f t="shared" ca="1" si="355"/>
        <v>39.405700000000436</v>
      </c>
      <c r="D815" s="306">
        <f t="shared" ca="1" si="356"/>
        <v>-0.41146908358050199</v>
      </c>
      <c r="E815" s="307">
        <f t="shared" ca="1" si="357"/>
        <v>-1.7943463710684568</v>
      </c>
      <c r="F815" s="304">
        <f t="shared" ca="1" si="358"/>
        <v>1.8409197989345214</v>
      </c>
      <c r="G815" s="306">
        <f t="shared" ca="1" si="359"/>
        <v>6.8476566017532488</v>
      </c>
      <c r="H815" s="307">
        <f t="shared" ca="1" si="360"/>
        <v>-133.39725712333538</v>
      </c>
      <c r="I815" s="304">
        <f t="shared" ca="1" si="361"/>
        <v>133.57289623634276</v>
      </c>
      <c r="J815" s="306">
        <f t="shared" ca="1" si="362"/>
        <v>539.267207314762</v>
      </c>
      <c r="K815" s="307">
        <f t="shared" ca="1" si="363"/>
        <v>-10.14025116064709</v>
      </c>
      <c r="L815" s="304">
        <f t="shared" ca="1" si="348"/>
        <v>539.36253631362229</v>
      </c>
      <c r="M815" s="306">
        <f t="shared" ca="1" si="364"/>
        <v>-1.5195085298504769</v>
      </c>
      <c r="N815" s="304">
        <f t="shared" ca="1" si="365"/>
        <v>-87.061425694560796</v>
      </c>
      <c r="P815" s="310">
        <f t="shared" ca="1" si="366"/>
        <v>23</v>
      </c>
      <c r="Q815" s="304">
        <f t="shared" ca="1" si="367"/>
        <v>0</v>
      </c>
      <c r="R815" s="306">
        <f t="shared" ca="1" si="368"/>
        <v>0</v>
      </c>
      <c r="S815" s="307">
        <f t="shared" ca="1" si="369"/>
        <v>6.8519999999999914</v>
      </c>
      <c r="T815" s="304">
        <f t="shared" ca="1" si="349"/>
        <v>67.218119999999914</v>
      </c>
      <c r="U815" s="311">
        <f t="shared" ca="1" si="350"/>
        <v>0</v>
      </c>
      <c r="V815" s="306">
        <f t="shared" ca="1" si="351"/>
        <v>1.2262428108879069</v>
      </c>
      <c r="W815" s="304">
        <f t="shared" ca="1" si="352"/>
        <v>54.995794289564849</v>
      </c>
      <c r="Y815" s="314" t="str">
        <f t="shared" ca="1" si="370"/>
        <v/>
      </c>
      <c r="Z815" s="315" t="str">
        <f t="shared" ca="1" si="371"/>
        <v/>
      </c>
      <c r="AA815" s="316" t="str">
        <f t="shared" ca="1" si="372"/>
        <v/>
      </c>
      <c r="AC815" s="310" t="e">
        <f t="shared" ca="1" si="373"/>
        <v>#N/A</v>
      </c>
      <c r="AD815" s="323" t="e">
        <f t="shared" ca="1" si="374"/>
        <v>#N/A</v>
      </c>
      <c r="AE815" s="324" t="e">
        <f t="shared" ca="1" si="353"/>
        <v>#N/A</v>
      </c>
      <c r="AG815" s="306">
        <f t="shared" ca="1" si="375"/>
        <v>1.7708926482520138</v>
      </c>
      <c r="AH815" s="304">
        <f t="shared" ca="1" si="376"/>
        <v>-8.0262076914160403</v>
      </c>
    </row>
    <row r="816" spans="1:34" x14ac:dyDescent="0.2">
      <c r="A816" s="347">
        <f t="shared" ca="1" si="354"/>
        <v>1E-4</v>
      </c>
      <c r="B816" s="304">
        <f t="shared" ca="1" si="355"/>
        <v>39.40580000000044</v>
      </c>
      <c r="D816" s="306">
        <f t="shared" ca="1" si="356"/>
        <v>-0.41146770552134987</v>
      </c>
      <c r="E816" s="307">
        <f t="shared" ca="1" si="357"/>
        <v>-1.7943142693039018</v>
      </c>
      <c r="F816" s="304">
        <f t="shared" ca="1" si="358"/>
        <v>1.8408882013078902</v>
      </c>
      <c r="G816" s="306">
        <f t="shared" ca="1" si="359"/>
        <v>6.8476154549826962</v>
      </c>
      <c r="H816" s="307">
        <f t="shared" ca="1" si="360"/>
        <v>-133.39743655476232</v>
      </c>
      <c r="I816" s="304">
        <f t="shared" ca="1" si="361"/>
        <v>133.5730733224371</v>
      </c>
      <c r="J816" s="306">
        <f t="shared" ca="1" si="362"/>
        <v>539.267207314762</v>
      </c>
      <c r="K816" s="307">
        <f t="shared" ca="1" si="363"/>
        <v>-10.153590895330995</v>
      </c>
      <c r="L816" s="304">
        <f t="shared" ca="1" si="348"/>
        <v>539.36278727136175</v>
      </c>
      <c r="M816" s="306">
        <f t="shared" ca="1" si="364"/>
        <v>-1.5195089063580525</v>
      </c>
      <c r="N816" s="304">
        <f t="shared" ca="1" si="365"/>
        <v>-87.061447266855822</v>
      </c>
      <c r="P816" s="310">
        <f t="shared" ca="1" si="366"/>
        <v>23</v>
      </c>
      <c r="Q816" s="304">
        <f t="shared" ca="1" si="367"/>
        <v>0</v>
      </c>
      <c r="R816" s="306">
        <f t="shared" ca="1" si="368"/>
        <v>0</v>
      </c>
      <c r="S816" s="307">
        <f t="shared" ca="1" si="369"/>
        <v>6.8519999999999914</v>
      </c>
      <c r="T816" s="304">
        <f t="shared" ca="1" si="349"/>
        <v>67.218119999999914</v>
      </c>
      <c r="U816" s="311">
        <f t="shared" ca="1" si="350"/>
        <v>0</v>
      </c>
      <c r="V816" s="306">
        <f t="shared" ca="1" si="351"/>
        <v>1.2262444466647944</v>
      </c>
      <c r="W816" s="304">
        <f t="shared" ca="1" si="352"/>
        <v>54.996013475707443</v>
      </c>
      <c r="Y816" s="314" t="str">
        <f t="shared" ca="1" si="370"/>
        <v/>
      </c>
      <c r="Z816" s="315" t="str">
        <f t="shared" ca="1" si="371"/>
        <v/>
      </c>
      <c r="AA816" s="316" t="str">
        <f t="shared" ca="1" si="372"/>
        <v/>
      </c>
      <c r="AC816" s="310" t="e">
        <f t="shared" ca="1" si="373"/>
        <v>#N/A</v>
      </c>
      <c r="AD816" s="323" t="e">
        <f t="shared" ca="1" si="374"/>
        <v>#N/A</v>
      </c>
      <c r="AE816" s="324" t="e">
        <f t="shared" ca="1" si="353"/>
        <v>#N/A</v>
      </c>
      <c r="AG816" s="306">
        <f t="shared" ca="1" si="375"/>
        <v>1.7708608486990531</v>
      </c>
      <c r="AH816" s="304">
        <f t="shared" ca="1" si="376"/>
        <v>-8.0262396803217921</v>
      </c>
    </row>
    <row r="817" spans="1:34" x14ac:dyDescent="0.2">
      <c r="A817" s="347">
        <f t="shared" ca="1" si="354"/>
        <v>1E-4</v>
      </c>
      <c r="B817" s="304">
        <f t="shared" ca="1" si="355"/>
        <v>39.405900000000443</v>
      </c>
      <c r="D817" s="306">
        <f t="shared" ca="1" si="356"/>
        <v>-0.41146632745045802</v>
      </c>
      <c r="E817" s="307">
        <f t="shared" ca="1" si="357"/>
        <v>-1.7942821678087153</v>
      </c>
      <c r="F817" s="304">
        <f t="shared" ca="1" si="358"/>
        <v>1.8408566039596648</v>
      </c>
      <c r="G817" s="306">
        <f t="shared" ca="1" si="359"/>
        <v>6.8475743083499507</v>
      </c>
      <c r="H817" s="307">
        <f t="shared" ca="1" si="360"/>
        <v>-133.39761598297909</v>
      </c>
      <c r="I817" s="304">
        <f t="shared" ca="1" si="361"/>
        <v>133.5732504053515</v>
      </c>
      <c r="J817" s="306">
        <f t="shared" ca="1" si="362"/>
        <v>539.267207314762</v>
      </c>
      <c r="K817" s="307">
        <f t="shared" ca="1" si="363"/>
        <v>-10.166930647957882</v>
      </c>
      <c r="L817" s="304">
        <f t="shared" ca="1" si="348"/>
        <v>539.36303855924621</v>
      </c>
      <c r="M817" s="306">
        <f t="shared" ca="1" si="364"/>
        <v>-1.5195092828623675</v>
      </c>
      <c r="N817" s="304">
        <f t="shared" ca="1" si="365"/>
        <v>-87.061468838964046</v>
      </c>
      <c r="P817" s="310">
        <f t="shared" ca="1" si="366"/>
        <v>23</v>
      </c>
      <c r="Q817" s="304">
        <f t="shared" ca="1" si="367"/>
        <v>0</v>
      </c>
      <c r="R817" s="306">
        <f t="shared" ca="1" si="368"/>
        <v>0</v>
      </c>
      <c r="S817" s="307">
        <f t="shared" ca="1" si="369"/>
        <v>6.8519999999999914</v>
      </c>
      <c r="T817" s="304">
        <f t="shared" ca="1" si="349"/>
        <v>67.218119999999914</v>
      </c>
      <c r="U817" s="311">
        <f t="shared" ca="1" si="350"/>
        <v>0</v>
      </c>
      <c r="V817" s="306">
        <f t="shared" ca="1" si="351"/>
        <v>1.2262460824460653</v>
      </c>
      <c r="W817" s="304">
        <f t="shared" ca="1" si="352"/>
        <v>54.996232660010456</v>
      </c>
      <c r="Y817" s="314" t="str">
        <f t="shared" ca="1" si="370"/>
        <v/>
      </c>
      <c r="Z817" s="315" t="str">
        <f t="shared" ca="1" si="371"/>
        <v/>
      </c>
      <c r="AA817" s="316" t="str">
        <f t="shared" ca="1" si="372"/>
        <v/>
      </c>
      <c r="AC817" s="310" t="e">
        <f t="shared" ca="1" si="373"/>
        <v>#N/A</v>
      </c>
      <c r="AD817" s="323" t="e">
        <f t="shared" ca="1" si="374"/>
        <v>#N/A</v>
      </c>
      <c r="AE817" s="324" t="e">
        <f t="shared" ca="1" si="353"/>
        <v>#N/A</v>
      </c>
      <c r="AG817" s="306">
        <f t="shared" ca="1" si="375"/>
        <v>1.7708290494115424</v>
      </c>
      <c r="AH817" s="304">
        <f t="shared" ca="1" si="376"/>
        <v>-8.0262716689590654</v>
      </c>
    </row>
    <row r="818" spans="1:34" x14ac:dyDescent="0.2">
      <c r="A818" s="347">
        <f t="shared" ca="1" si="354"/>
        <v>1E-4</v>
      </c>
      <c r="B818" s="304">
        <f t="shared" ca="1" si="355"/>
        <v>39.406000000000446</v>
      </c>
      <c r="D818" s="306">
        <f t="shared" ca="1" si="356"/>
        <v>-0.4114649493678238</v>
      </c>
      <c r="E818" s="307">
        <f t="shared" ca="1" si="357"/>
        <v>-1.794250066582892</v>
      </c>
      <c r="F818" s="304">
        <f t="shared" ca="1" si="358"/>
        <v>1.8408250068898395</v>
      </c>
      <c r="G818" s="306">
        <f t="shared" ca="1" si="359"/>
        <v>6.8475331618550141</v>
      </c>
      <c r="H818" s="307">
        <f t="shared" ca="1" si="360"/>
        <v>-133.39779540798574</v>
      </c>
      <c r="I818" s="304">
        <f t="shared" ca="1" si="361"/>
        <v>133.573427485086</v>
      </c>
      <c r="J818" s="306">
        <f t="shared" ca="1" si="362"/>
        <v>539.267207314762</v>
      </c>
      <c r="K818" s="307">
        <f t="shared" ca="1" si="363"/>
        <v>-10.18027041852743</v>
      </c>
      <c r="L818" s="304">
        <f t="shared" ca="1" si="348"/>
        <v>539.36329017727644</v>
      </c>
      <c r="M818" s="306">
        <f t="shared" ca="1" si="364"/>
        <v>-1.5195096593634221</v>
      </c>
      <c r="N818" s="304">
        <f t="shared" ca="1" si="365"/>
        <v>-87.061490410885455</v>
      </c>
      <c r="P818" s="310">
        <f t="shared" ca="1" si="366"/>
        <v>23</v>
      </c>
      <c r="Q818" s="304">
        <f t="shared" ca="1" si="367"/>
        <v>0</v>
      </c>
      <c r="R818" s="306">
        <f t="shared" ca="1" si="368"/>
        <v>0</v>
      </c>
      <c r="S818" s="307">
        <f t="shared" ca="1" si="369"/>
        <v>6.8519999999999914</v>
      </c>
      <c r="T818" s="304">
        <f t="shared" ca="1" si="349"/>
        <v>67.218119999999914</v>
      </c>
      <c r="U818" s="311">
        <f t="shared" ca="1" si="350"/>
        <v>0</v>
      </c>
      <c r="V818" s="306">
        <f t="shared" ca="1" si="351"/>
        <v>1.2262477182317202</v>
      </c>
      <c r="W818" s="304">
        <f t="shared" ca="1" si="352"/>
        <v>54.996451842473917</v>
      </c>
      <c r="Y818" s="314" t="str">
        <f t="shared" ca="1" si="370"/>
        <v/>
      </c>
      <c r="Z818" s="315" t="str">
        <f t="shared" ca="1" si="371"/>
        <v/>
      </c>
      <c r="AA818" s="316" t="str">
        <f t="shared" ca="1" si="372"/>
        <v/>
      </c>
      <c r="AC818" s="310" t="e">
        <f t="shared" ca="1" si="373"/>
        <v>#N/A</v>
      </c>
      <c r="AD818" s="323" t="e">
        <f t="shared" ca="1" si="374"/>
        <v>#N/A</v>
      </c>
      <c r="AE818" s="324" t="e">
        <f t="shared" ca="1" si="353"/>
        <v>#N/A</v>
      </c>
      <c r="AG818" s="306">
        <f t="shared" ca="1" si="375"/>
        <v>1.770797250389478</v>
      </c>
      <c r="AH818" s="304">
        <f t="shared" ca="1" si="376"/>
        <v>-8.0263036573278637</v>
      </c>
    </row>
    <row r="819" spans="1:34" x14ac:dyDescent="0.2">
      <c r="A819" s="347">
        <f t="shared" ca="1" si="354"/>
        <v>1E-4</v>
      </c>
      <c r="B819" s="304">
        <f t="shared" ca="1" si="355"/>
        <v>39.40610000000045</v>
      </c>
      <c r="D819" s="306">
        <f t="shared" ca="1" si="356"/>
        <v>-0.41146357127344807</v>
      </c>
      <c r="E819" s="307">
        <f t="shared" ca="1" si="357"/>
        <v>-1.7942179656264283</v>
      </c>
      <c r="F819" s="304">
        <f t="shared" ca="1" si="358"/>
        <v>1.8407934100984116</v>
      </c>
      <c r="G819" s="306">
        <f t="shared" ca="1" si="359"/>
        <v>6.8474920154978864</v>
      </c>
      <c r="H819" s="307">
        <f t="shared" ca="1" si="360"/>
        <v>-133.3979748297823</v>
      </c>
      <c r="I819" s="304">
        <f t="shared" ca="1" si="361"/>
        <v>133.57360456164062</v>
      </c>
      <c r="J819" s="306">
        <f t="shared" ca="1" si="362"/>
        <v>539.267207314762</v>
      </c>
      <c r="K819" s="307">
        <f t="shared" ca="1" si="363"/>
        <v>-10.193610207039319</v>
      </c>
      <c r="L819" s="304">
        <f t="shared" ca="1" si="348"/>
        <v>539.36354212545325</v>
      </c>
      <c r="M819" s="306">
        <f t="shared" ca="1" si="364"/>
        <v>-1.5195100358612157</v>
      </c>
      <c r="N819" s="304">
        <f t="shared" ca="1" si="365"/>
        <v>-87.061511982620033</v>
      </c>
      <c r="P819" s="310">
        <f t="shared" ca="1" si="366"/>
        <v>23</v>
      </c>
      <c r="Q819" s="304">
        <f t="shared" ca="1" si="367"/>
        <v>0</v>
      </c>
      <c r="R819" s="306">
        <f t="shared" ca="1" si="368"/>
        <v>0</v>
      </c>
      <c r="S819" s="307">
        <f t="shared" ca="1" si="369"/>
        <v>6.8519999999999914</v>
      </c>
      <c r="T819" s="304">
        <f t="shared" ca="1" si="349"/>
        <v>67.218119999999914</v>
      </c>
      <c r="U819" s="311">
        <f t="shared" ca="1" si="350"/>
        <v>0</v>
      </c>
      <c r="V819" s="306">
        <f t="shared" ca="1" si="351"/>
        <v>1.2262493540217578</v>
      </c>
      <c r="W819" s="304">
        <f t="shared" ca="1" si="352"/>
        <v>54.996671023097754</v>
      </c>
      <c r="Y819" s="314" t="str">
        <f t="shared" ca="1" si="370"/>
        <v/>
      </c>
      <c r="Z819" s="315" t="str">
        <f t="shared" ca="1" si="371"/>
        <v/>
      </c>
      <c r="AA819" s="316" t="str">
        <f t="shared" ca="1" si="372"/>
        <v/>
      </c>
      <c r="AC819" s="310" t="e">
        <f t="shared" ca="1" si="373"/>
        <v>#N/A</v>
      </c>
      <c r="AD819" s="323" t="e">
        <f t="shared" ca="1" si="374"/>
        <v>#N/A</v>
      </c>
      <c r="AE819" s="324" t="e">
        <f t="shared" ca="1" si="353"/>
        <v>#N/A</v>
      </c>
      <c r="AG819" s="306">
        <f t="shared" ca="1" si="375"/>
        <v>1.770765451632851</v>
      </c>
      <c r="AH819" s="304">
        <f t="shared" ca="1" si="376"/>
        <v>-8.026335645428194</v>
      </c>
    </row>
    <row r="820" spans="1:34" x14ac:dyDescent="0.2">
      <c r="A820" s="347">
        <f t="shared" ca="1" si="354"/>
        <v>1E-4</v>
      </c>
      <c r="B820" s="304">
        <f t="shared" ca="1" si="355"/>
        <v>39.406200000000453</v>
      </c>
      <c r="D820" s="306">
        <f t="shared" ca="1" si="356"/>
        <v>-0.41146219316733434</v>
      </c>
      <c r="E820" s="307">
        <f t="shared" ca="1" si="357"/>
        <v>-1.794185864939335</v>
      </c>
      <c r="F820" s="304">
        <f t="shared" ca="1" si="358"/>
        <v>1.8407618135853923</v>
      </c>
      <c r="G820" s="306">
        <f t="shared" ca="1" si="359"/>
        <v>6.8474508692785694</v>
      </c>
      <c r="H820" s="307">
        <f t="shared" ca="1" si="360"/>
        <v>-133.3981542483688</v>
      </c>
      <c r="I820" s="304">
        <f t="shared" ca="1" si="361"/>
        <v>133.57378163501542</v>
      </c>
      <c r="J820" s="306">
        <f t="shared" ca="1" si="362"/>
        <v>539.267207314762</v>
      </c>
      <c r="K820" s="307">
        <f t="shared" ca="1" si="363"/>
        <v>-10.206950013493227</v>
      </c>
      <c r="L820" s="304">
        <f t="shared" ca="1" si="348"/>
        <v>539.36379440377755</v>
      </c>
      <c r="M820" s="306">
        <f t="shared" ca="1" si="364"/>
        <v>-1.519510412355749</v>
      </c>
      <c r="N820" s="304">
        <f t="shared" ca="1" si="365"/>
        <v>-87.061533554167795</v>
      </c>
      <c r="P820" s="310">
        <f t="shared" ca="1" si="366"/>
        <v>23</v>
      </c>
      <c r="Q820" s="304">
        <f t="shared" ca="1" si="367"/>
        <v>0</v>
      </c>
      <c r="R820" s="306">
        <f t="shared" ca="1" si="368"/>
        <v>0</v>
      </c>
      <c r="S820" s="307">
        <f t="shared" ca="1" si="369"/>
        <v>6.8519999999999914</v>
      </c>
      <c r="T820" s="304">
        <f t="shared" ca="1" si="349"/>
        <v>67.218119999999914</v>
      </c>
      <c r="U820" s="311">
        <f t="shared" ca="1" si="350"/>
        <v>0</v>
      </c>
      <c r="V820" s="306">
        <f t="shared" ca="1" si="351"/>
        <v>1.2262509898161789</v>
      </c>
      <c r="W820" s="304">
        <f t="shared" ca="1" si="352"/>
        <v>54.996890201882053</v>
      </c>
      <c r="Y820" s="314" t="str">
        <f t="shared" ca="1" si="370"/>
        <v/>
      </c>
      <c r="Z820" s="315" t="str">
        <f t="shared" ca="1" si="371"/>
        <v/>
      </c>
      <c r="AA820" s="316" t="str">
        <f t="shared" ca="1" si="372"/>
        <v/>
      </c>
      <c r="AC820" s="310" t="e">
        <f t="shared" ca="1" si="373"/>
        <v>#N/A</v>
      </c>
      <c r="AD820" s="323" t="e">
        <f t="shared" ca="1" si="374"/>
        <v>#N/A</v>
      </c>
      <c r="AE820" s="324" t="e">
        <f t="shared" ca="1" si="353"/>
        <v>#N/A</v>
      </c>
      <c r="AG820" s="306">
        <f t="shared" ca="1" si="375"/>
        <v>1.7707336531416793</v>
      </c>
      <c r="AH820" s="304">
        <f t="shared" ca="1" si="376"/>
        <v>-8.026367633260044</v>
      </c>
    </row>
    <row r="821" spans="1:34" x14ac:dyDescent="0.2">
      <c r="A821" s="347">
        <f t="shared" ca="1" si="354"/>
        <v>1E-4</v>
      </c>
      <c r="B821" s="304">
        <f t="shared" ca="1" si="355"/>
        <v>39.406300000000456</v>
      </c>
      <c r="D821" s="306">
        <f t="shared" ca="1" si="356"/>
        <v>-0.41146081504947873</v>
      </c>
      <c r="E821" s="307">
        <f t="shared" ca="1" si="357"/>
        <v>-1.7941537645215977</v>
      </c>
      <c r="F821" s="304">
        <f t="shared" ca="1" si="358"/>
        <v>1.8407302173507669</v>
      </c>
      <c r="G821" s="306">
        <f t="shared" ca="1" si="359"/>
        <v>6.8474097231970648</v>
      </c>
      <c r="H821" s="307">
        <f t="shared" ca="1" si="360"/>
        <v>-133.39833366374526</v>
      </c>
      <c r="I821" s="304">
        <f t="shared" ca="1" si="361"/>
        <v>133.57395870521037</v>
      </c>
      <c r="J821" s="306">
        <f t="shared" ca="1" si="362"/>
        <v>539.267207314762</v>
      </c>
      <c r="K821" s="307">
        <f t="shared" ca="1" si="363"/>
        <v>-10.220289837888833</v>
      </c>
      <c r="L821" s="304">
        <f t="shared" ca="1" si="348"/>
        <v>539.36404701225024</v>
      </c>
      <c r="M821" s="306">
        <f t="shared" ca="1" si="364"/>
        <v>-1.5195107888470216</v>
      </c>
      <c r="N821" s="304">
        <f t="shared" ca="1" si="365"/>
        <v>-87.061555125528741</v>
      </c>
      <c r="P821" s="310">
        <f t="shared" ca="1" si="366"/>
        <v>23</v>
      </c>
      <c r="Q821" s="304">
        <f t="shared" ca="1" si="367"/>
        <v>0</v>
      </c>
      <c r="R821" s="306">
        <f t="shared" ca="1" si="368"/>
        <v>0</v>
      </c>
      <c r="S821" s="307">
        <f t="shared" ca="1" si="369"/>
        <v>6.8519999999999914</v>
      </c>
      <c r="T821" s="304">
        <f t="shared" ca="1" si="349"/>
        <v>67.218119999999914</v>
      </c>
      <c r="U821" s="311">
        <f t="shared" ca="1" si="350"/>
        <v>0</v>
      </c>
      <c r="V821" s="306">
        <f t="shared" ca="1" si="351"/>
        <v>1.2262526256149835</v>
      </c>
      <c r="W821" s="304">
        <f t="shared" ca="1" si="352"/>
        <v>54.997109378826771</v>
      </c>
      <c r="Y821" s="314" t="str">
        <f t="shared" ca="1" si="370"/>
        <v/>
      </c>
      <c r="Z821" s="315" t="str">
        <f t="shared" ca="1" si="371"/>
        <v/>
      </c>
      <c r="AA821" s="316" t="str">
        <f t="shared" ca="1" si="372"/>
        <v/>
      </c>
      <c r="AC821" s="310" t="e">
        <f t="shared" ca="1" si="373"/>
        <v>#N/A</v>
      </c>
      <c r="AD821" s="323" t="e">
        <f t="shared" ca="1" si="374"/>
        <v>#N/A</v>
      </c>
      <c r="AE821" s="324" t="e">
        <f t="shared" ca="1" si="353"/>
        <v>#N/A</v>
      </c>
      <c r="AG821" s="306">
        <f t="shared" ca="1" si="375"/>
        <v>1.7707018549159432</v>
      </c>
      <c r="AH821" s="304">
        <f t="shared" ca="1" si="376"/>
        <v>-8.0263996208234278</v>
      </c>
    </row>
    <row r="822" spans="1:34" x14ac:dyDescent="0.2">
      <c r="A822" s="347">
        <f t="shared" ca="1" si="354"/>
        <v>1E-4</v>
      </c>
      <c r="B822" s="304">
        <f t="shared" ca="1" si="355"/>
        <v>39.40640000000046</v>
      </c>
      <c r="D822" s="306">
        <f t="shared" ca="1" si="356"/>
        <v>-0.4114594369198849</v>
      </c>
      <c r="E822" s="307">
        <f t="shared" ca="1" si="357"/>
        <v>-1.7941216643732254</v>
      </c>
      <c r="F822" s="304">
        <f t="shared" ca="1" si="358"/>
        <v>1.8406986213945458</v>
      </c>
      <c r="G822" s="306">
        <f t="shared" ca="1" si="359"/>
        <v>6.8473685772533726</v>
      </c>
      <c r="H822" s="307">
        <f t="shared" ca="1" si="360"/>
        <v>-133.39851307591169</v>
      </c>
      <c r="I822" s="304">
        <f t="shared" ca="1" si="361"/>
        <v>133.57413577222553</v>
      </c>
      <c r="J822" s="306">
        <f t="shared" ca="1" si="362"/>
        <v>539.267207314762</v>
      </c>
      <c r="K822" s="307">
        <f t="shared" ca="1" si="363"/>
        <v>-10.233629680225816</v>
      </c>
      <c r="L822" s="304">
        <f t="shared" ca="1" si="348"/>
        <v>539.36429995087224</v>
      </c>
      <c r="M822" s="306">
        <f t="shared" ca="1" si="364"/>
        <v>-1.5195111653350339</v>
      </c>
      <c r="N822" s="304">
        <f t="shared" ca="1" si="365"/>
        <v>-87.061576696702886</v>
      </c>
      <c r="P822" s="310">
        <f t="shared" ca="1" si="366"/>
        <v>23</v>
      </c>
      <c r="Q822" s="304">
        <f t="shared" ca="1" si="367"/>
        <v>0</v>
      </c>
      <c r="R822" s="306">
        <f t="shared" ca="1" si="368"/>
        <v>0</v>
      </c>
      <c r="S822" s="307">
        <f t="shared" ca="1" si="369"/>
        <v>6.8519999999999914</v>
      </c>
      <c r="T822" s="304">
        <f t="shared" ca="1" si="349"/>
        <v>67.218119999999914</v>
      </c>
      <c r="U822" s="311">
        <f t="shared" ca="1" si="350"/>
        <v>0</v>
      </c>
      <c r="V822" s="306">
        <f t="shared" ca="1" si="351"/>
        <v>1.2262542614181713</v>
      </c>
      <c r="W822" s="304">
        <f t="shared" ca="1" si="352"/>
        <v>54.997328553931908</v>
      </c>
      <c r="Y822" s="314" t="str">
        <f t="shared" ca="1" si="370"/>
        <v/>
      </c>
      <c r="Z822" s="315" t="str">
        <f t="shared" ca="1" si="371"/>
        <v/>
      </c>
      <c r="AA822" s="316" t="str">
        <f t="shared" ca="1" si="372"/>
        <v/>
      </c>
      <c r="AC822" s="310" t="e">
        <f t="shared" ca="1" si="373"/>
        <v>#N/A</v>
      </c>
      <c r="AD822" s="323" t="e">
        <f t="shared" ca="1" si="374"/>
        <v>#N/A</v>
      </c>
      <c r="AE822" s="324" t="e">
        <f t="shared" ca="1" si="353"/>
        <v>#N/A</v>
      </c>
      <c r="AG822" s="306">
        <f t="shared" ca="1" si="375"/>
        <v>1.7706700569556535</v>
      </c>
      <c r="AH822" s="304">
        <f t="shared" ca="1" si="376"/>
        <v>-8.0264316081183367</v>
      </c>
    </row>
    <row r="823" spans="1:34" x14ac:dyDescent="0.2">
      <c r="A823" s="347">
        <f t="shared" ca="1" si="354"/>
        <v>1E-4</v>
      </c>
      <c r="B823" s="304">
        <f t="shared" ca="1" si="355"/>
        <v>39.406500000000463</v>
      </c>
      <c r="D823" s="306">
        <f t="shared" ca="1" si="356"/>
        <v>-0.41145805877854996</v>
      </c>
      <c r="E823" s="307">
        <f t="shared" ca="1" si="357"/>
        <v>-1.7940895644942163</v>
      </c>
      <c r="F823" s="304">
        <f t="shared" ca="1" si="358"/>
        <v>1.8406670257167264</v>
      </c>
      <c r="G823" s="306">
        <f t="shared" ca="1" si="359"/>
        <v>6.8473274314474946</v>
      </c>
      <c r="H823" s="307">
        <f t="shared" ca="1" si="360"/>
        <v>-133.39869248486815</v>
      </c>
      <c r="I823" s="304">
        <f t="shared" ca="1" si="361"/>
        <v>133.57431283606093</v>
      </c>
      <c r="J823" s="306">
        <f t="shared" ca="1" si="362"/>
        <v>539.267207314762</v>
      </c>
      <c r="K823" s="307">
        <f t="shared" ca="1" si="363"/>
        <v>-10.246969540503855</v>
      </c>
      <c r="L823" s="304">
        <f t="shared" ca="1" si="348"/>
        <v>539.36455321964434</v>
      </c>
      <c r="M823" s="306">
        <f t="shared" ca="1" si="364"/>
        <v>-1.5195115418197858</v>
      </c>
      <c r="N823" s="304">
        <f t="shared" ca="1" si="365"/>
        <v>-87.061598267690215</v>
      </c>
      <c r="P823" s="310">
        <f t="shared" ca="1" si="366"/>
        <v>23</v>
      </c>
      <c r="Q823" s="304">
        <f t="shared" ca="1" si="367"/>
        <v>0</v>
      </c>
      <c r="R823" s="306">
        <f t="shared" ca="1" si="368"/>
        <v>0</v>
      </c>
      <c r="S823" s="307">
        <f t="shared" ca="1" si="369"/>
        <v>6.8519999999999914</v>
      </c>
      <c r="T823" s="304">
        <f t="shared" ca="1" si="349"/>
        <v>67.218119999999914</v>
      </c>
      <c r="U823" s="311">
        <f t="shared" ca="1" si="350"/>
        <v>0</v>
      </c>
      <c r="V823" s="306">
        <f t="shared" ca="1" si="351"/>
        <v>1.2262558972257429</v>
      </c>
      <c r="W823" s="304">
        <f t="shared" ca="1" si="352"/>
        <v>54.997547727197514</v>
      </c>
      <c r="Y823" s="314" t="str">
        <f t="shared" ca="1" si="370"/>
        <v/>
      </c>
      <c r="Z823" s="315" t="str">
        <f t="shared" ca="1" si="371"/>
        <v/>
      </c>
      <c r="AA823" s="316" t="str">
        <f t="shared" ca="1" si="372"/>
        <v/>
      </c>
      <c r="AC823" s="310" t="e">
        <f t="shared" ca="1" si="373"/>
        <v>#N/A</v>
      </c>
      <c r="AD823" s="323" t="e">
        <f t="shared" ca="1" si="374"/>
        <v>#N/A</v>
      </c>
      <c r="AE823" s="324" t="e">
        <f t="shared" ca="1" si="353"/>
        <v>#N/A</v>
      </c>
      <c r="AG823" s="306">
        <f t="shared" ca="1" si="375"/>
        <v>1.7706382592608083</v>
      </c>
      <c r="AH823" s="304">
        <f t="shared" ca="1" si="376"/>
        <v>-8.0264635951447723</v>
      </c>
    </row>
    <row r="824" spans="1:34" x14ac:dyDescent="0.2">
      <c r="A824" s="347">
        <f t="shared" ca="1" si="354"/>
        <v>1E-4</v>
      </c>
      <c r="B824" s="304">
        <f t="shared" ca="1" si="355"/>
        <v>39.406600000000466</v>
      </c>
      <c r="D824" s="306">
        <f t="shared" ca="1" si="356"/>
        <v>-0.41145668062547675</v>
      </c>
      <c r="E824" s="307">
        <f t="shared" ca="1" si="357"/>
        <v>-1.7940574648845633</v>
      </c>
      <c r="F824" s="304">
        <f t="shared" ca="1" si="358"/>
        <v>1.8406354303173025</v>
      </c>
      <c r="G824" s="306">
        <f t="shared" ca="1" si="359"/>
        <v>6.8472862857794317</v>
      </c>
      <c r="H824" s="307">
        <f t="shared" ca="1" si="360"/>
        <v>-133.39887189061463</v>
      </c>
      <c r="I824" s="304">
        <f t="shared" ca="1" si="361"/>
        <v>133.57448989671656</v>
      </c>
      <c r="J824" s="306">
        <f t="shared" ca="1" si="362"/>
        <v>539.267207314762</v>
      </c>
      <c r="K824" s="307">
        <f t="shared" ca="1" si="363"/>
        <v>-10.260309418722629</v>
      </c>
      <c r="L824" s="304">
        <f t="shared" ca="1" si="348"/>
        <v>539.36480681856733</v>
      </c>
      <c r="M824" s="306">
        <f t="shared" ca="1" si="364"/>
        <v>-1.5195119183012771</v>
      </c>
      <c r="N824" s="304">
        <f t="shared" ca="1" si="365"/>
        <v>-87.061619838490728</v>
      </c>
      <c r="P824" s="310">
        <f t="shared" ca="1" si="366"/>
        <v>23</v>
      </c>
      <c r="Q824" s="304">
        <f t="shared" ca="1" si="367"/>
        <v>0</v>
      </c>
      <c r="R824" s="306">
        <f t="shared" ca="1" si="368"/>
        <v>0</v>
      </c>
      <c r="S824" s="307">
        <f t="shared" ca="1" si="369"/>
        <v>6.8519999999999914</v>
      </c>
      <c r="T824" s="304">
        <f t="shared" ca="1" si="349"/>
        <v>67.218119999999914</v>
      </c>
      <c r="U824" s="311">
        <f t="shared" ca="1" si="350"/>
        <v>0</v>
      </c>
      <c r="V824" s="306">
        <f t="shared" ca="1" si="351"/>
        <v>1.226257533037697</v>
      </c>
      <c r="W824" s="304">
        <f t="shared" ca="1" si="352"/>
        <v>54.997766898623503</v>
      </c>
      <c r="Y824" s="314" t="str">
        <f t="shared" ca="1" si="370"/>
        <v/>
      </c>
      <c r="Z824" s="315" t="str">
        <f t="shared" ca="1" si="371"/>
        <v/>
      </c>
      <c r="AA824" s="316" t="str">
        <f t="shared" ca="1" si="372"/>
        <v/>
      </c>
      <c r="AC824" s="310" t="e">
        <f t="shared" ca="1" si="373"/>
        <v>#N/A</v>
      </c>
      <c r="AD824" s="323" t="e">
        <f t="shared" ca="1" si="374"/>
        <v>#N/A</v>
      </c>
      <c r="AE824" s="324" t="e">
        <f t="shared" ca="1" si="353"/>
        <v>#N/A</v>
      </c>
      <c r="AG824" s="306">
        <f t="shared" ca="1" si="375"/>
        <v>1.7706064618314041</v>
      </c>
      <c r="AH824" s="304">
        <f t="shared" ca="1" si="376"/>
        <v>-8.0264955819027417</v>
      </c>
    </row>
    <row r="825" spans="1:34" x14ac:dyDescent="0.2">
      <c r="A825" s="347">
        <f t="shared" ca="1" si="354"/>
        <v>1E-4</v>
      </c>
      <c r="B825" s="304">
        <f t="shared" ca="1" si="355"/>
        <v>39.40670000000047</v>
      </c>
      <c r="D825" s="306">
        <f t="shared" ca="1" si="356"/>
        <v>-0.4114553024606652</v>
      </c>
      <c r="E825" s="307">
        <f t="shared" ca="1" si="357"/>
        <v>-1.7940253655442806</v>
      </c>
      <c r="F825" s="304">
        <f t="shared" ca="1" si="358"/>
        <v>1.8406038351962888</v>
      </c>
      <c r="G825" s="306">
        <f t="shared" ca="1" si="359"/>
        <v>6.8472451402491856</v>
      </c>
      <c r="H825" s="307">
        <f t="shared" ca="1" si="360"/>
        <v>-133.39905129315119</v>
      </c>
      <c r="I825" s="304">
        <f t="shared" ca="1" si="361"/>
        <v>133.57466695419251</v>
      </c>
      <c r="J825" s="306">
        <f t="shared" ca="1" si="362"/>
        <v>539.267207314762</v>
      </c>
      <c r="K825" s="307">
        <f t="shared" ca="1" si="363"/>
        <v>-10.273649314881817</v>
      </c>
      <c r="L825" s="304">
        <f t="shared" ca="1" si="348"/>
        <v>539.36506074764213</v>
      </c>
      <c r="M825" s="306">
        <f t="shared" ca="1" si="364"/>
        <v>-1.5195122947795081</v>
      </c>
      <c r="N825" s="304">
        <f t="shared" ca="1" si="365"/>
        <v>-87.061641409104453</v>
      </c>
      <c r="P825" s="310">
        <f t="shared" ca="1" si="366"/>
        <v>23</v>
      </c>
      <c r="Q825" s="304">
        <f t="shared" ca="1" si="367"/>
        <v>0</v>
      </c>
      <c r="R825" s="306">
        <f t="shared" ca="1" si="368"/>
        <v>0</v>
      </c>
      <c r="S825" s="307">
        <f t="shared" ca="1" si="369"/>
        <v>6.8519999999999914</v>
      </c>
      <c r="T825" s="304">
        <f t="shared" ca="1" si="349"/>
        <v>67.218119999999914</v>
      </c>
      <c r="U825" s="311">
        <f t="shared" ca="1" si="350"/>
        <v>0</v>
      </c>
      <c r="V825" s="306">
        <f t="shared" ca="1" si="351"/>
        <v>1.2262591688540345</v>
      </c>
      <c r="W825" s="304">
        <f t="shared" ca="1" si="352"/>
        <v>54.997986068209968</v>
      </c>
      <c r="Y825" s="314" t="str">
        <f t="shared" ca="1" si="370"/>
        <v/>
      </c>
      <c r="Z825" s="315" t="str">
        <f t="shared" ca="1" si="371"/>
        <v/>
      </c>
      <c r="AA825" s="316" t="str">
        <f t="shared" ca="1" si="372"/>
        <v/>
      </c>
      <c r="AC825" s="310" t="e">
        <f t="shared" ca="1" si="373"/>
        <v>#N/A</v>
      </c>
      <c r="AD825" s="323" t="e">
        <f t="shared" ca="1" si="374"/>
        <v>#N/A</v>
      </c>
      <c r="AE825" s="324" t="e">
        <f t="shared" ca="1" si="353"/>
        <v>#N/A</v>
      </c>
      <c r="AG825" s="306">
        <f t="shared" ca="1" si="375"/>
        <v>1.7705746646674481</v>
      </c>
      <c r="AH825" s="304">
        <f t="shared" ca="1" si="376"/>
        <v>-8.0265275683922326</v>
      </c>
    </row>
    <row r="826" spans="1:34" x14ac:dyDescent="0.2">
      <c r="A826" s="347">
        <f t="shared" ca="1" si="354"/>
        <v>1E-4</v>
      </c>
      <c r="B826" s="304">
        <f t="shared" ca="1" si="355"/>
        <v>39.406800000000473</v>
      </c>
      <c r="D826" s="306">
        <f t="shared" ca="1" si="356"/>
        <v>-0.41145392428411481</v>
      </c>
      <c r="E826" s="307">
        <f t="shared" ca="1" si="357"/>
        <v>-1.7939932664733522</v>
      </c>
      <c r="F826" s="304">
        <f t="shared" ca="1" si="358"/>
        <v>1.8405722403536695</v>
      </c>
      <c r="G826" s="306">
        <f t="shared" ca="1" si="359"/>
        <v>6.8472039948567573</v>
      </c>
      <c r="H826" s="307">
        <f t="shared" ca="1" si="360"/>
        <v>-133.39923069247783</v>
      </c>
      <c r="I826" s="304">
        <f t="shared" ca="1" si="361"/>
        <v>133.57484400848875</v>
      </c>
      <c r="J826" s="306">
        <f t="shared" ca="1" si="362"/>
        <v>539.267207314762</v>
      </c>
      <c r="K826" s="307">
        <f t="shared" ca="1" si="363"/>
        <v>-10.286989228981099</v>
      </c>
      <c r="L826" s="304">
        <f t="shared" ca="1" si="348"/>
        <v>539.36531500686954</v>
      </c>
      <c r="M826" s="306">
        <f t="shared" ca="1" si="364"/>
        <v>-1.5195126712544786</v>
      </c>
      <c r="N826" s="304">
        <f t="shared" ca="1" si="365"/>
        <v>-87.061662979531349</v>
      </c>
      <c r="P826" s="310">
        <f t="shared" ca="1" si="366"/>
        <v>23</v>
      </c>
      <c r="Q826" s="304">
        <f t="shared" ca="1" si="367"/>
        <v>0</v>
      </c>
      <c r="R826" s="306">
        <f t="shared" ca="1" si="368"/>
        <v>0</v>
      </c>
      <c r="S826" s="307">
        <f t="shared" ca="1" si="369"/>
        <v>6.8519999999999914</v>
      </c>
      <c r="T826" s="304">
        <f t="shared" ca="1" si="349"/>
        <v>67.218119999999914</v>
      </c>
      <c r="U826" s="311">
        <f t="shared" ca="1" si="350"/>
        <v>0</v>
      </c>
      <c r="V826" s="306">
        <f t="shared" ca="1" si="351"/>
        <v>1.2262608046747558</v>
      </c>
      <c r="W826" s="304">
        <f t="shared" ca="1" si="352"/>
        <v>54.998205235956881</v>
      </c>
      <c r="Y826" s="314" t="str">
        <f t="shared" ca="1" si="370"/>
        <v/>
      </c>
      <c r="Z826" s="315" t="str">
        <f t="shared" ca="1" si="371"/>
        <v/>
      </c>
      <c r="AA826" s="316" t="str">
        <f t="shared" ca="1" si="372"/>
        <v/>
      </c>
      <c r="AC826" s="310" t="e">
        <f t="shared" ca="1" si="373"/>
        <v>#N/A</v>
      </c>
      <c r="AD826" s="323" t="e">
        <f t="shared" ca="1" si="374"/>
        <v>#N/A</v>
      </c>
      <c r="AE826" s="324" t="e">
        <f t="shared" ca="1" si="353"/>
        <v>#N/A</v>
      </c>
      <c r="AG826" s="306">
        <f t="shared" ca="1" si="375"/>
        <v>1.7705428677689294</v>
      </c>
      <c r="AH826" s="304">
        <f t="shared" ca="1" si="376"/>
        <v>-8.0265595546132573</v>
      </c>
    </row>
    <row r="827" spans="1:34" x14ac:dyDescent="0.2">
      <c r="A827" s="347">
        <f t="shared" ca="1" si="354"/>
        <v>1E-4</v>
      </c>
      <c r="B827" s="304">
        <f t="shared" ca="1" si="355"/>
        <v>39.406900000000476</v>
      </c>
      <c r="D827" s="306">
        <f t="shared" ca="1" si="356"/>
        <v>-0.41145254609582776</v>
      </c>
      <c r="E827" s="307">
        <f t="shared" ca="1" si="357"/>
        <v>-1.7939611676717835</v>
      </c>
      <c r="F827" s="304">
        <f t="shared" ca="1" si="358"/>
        <v>1.8405406457894506</v>
      </c>
      <c r="G827" s="306">
        <f t="shared" ca="1" si="359"/>
        <v>6.8471628496021477</v>
      </c>
      <c r="H827" s="307">
        <f t="shared" ca="1" si="360"/>
        <v>-133.39941008859461</v>
      </c>
      <c r="I827" s="304">
        <f t="shared" ca="1" si="361"/>
        <v>133.57502105960532</v>
      </c>
      <c r="J827" s="306">
        <f t="shared" ca="1" si="362"/>
        <v>539.267207314762</v>
      </c>
      <c r="K827" s="307">
        <f t="shared" ca="1" si="363"/>
        <v>-10.300329161020153</v>
      </c>
      <c r="L827" s="304">
        <f t="shared" ca="1" si="348"/>
        <v>539.36556959625057</v>
      </c>
      <c r="M827" s="306">
        <f t="shared" ca="1" si="364"/>
        <v>-1.5195130477261891</v>
      </c>
      <c r="N827" s="304">
        <f t="shared" ca="1" si="365"/>
        <v>-87.061684549771471</v>
      </c>
      <c r="P827" s="310">
        <f t="shared" ca="1" si="366"/>
        <v>23</v>
      </c>
      <c r="Q827" s="304">
        <f t="shared" ca="1" si="367"/>
        <v>0</v>
      </c>
      <c r="R827" s="306">
        <f t="shared" ca="1" si="368"/>
        <v>0</v>
      </c>
      <c r="S827" s="307">
        <f t="shared" ca="1" si="369"/>
        <v>6.8519999999999914</v>
      </c>
      <c r="T827" s="304">
        <f t="shared" ca="1" si="349"/>
        <v>67.218119999999914</v>
      </c>
      <c r="U827" s="311">
        <f t="shared" ca="1" si="350"/>
        <v>0</v>
      </c>
      <c r="V827" s="306">
        <f t="shared" ca="1" si="351"/>
        <v>1.2262624404998597</v>
      </c>
      <c r="W827" s="304">
        <f t="shared" ca="1" si="352"/>
        <v>54.998424401864199</v>
      </c>
      <c r="Y827" s="314" t="str">
        <f t="shared" ca="1" si="370"/>
        <v/>
      </c>
      <c r="Z827" s="315" t="str">
        <f t="shared" ca="1" si="371"/>
        <v/>
      </c>
      <c r="AA827" s="316" t="str">
        <f t="shared" ca="1" si="372"/>
        <v/>
      </c>
      <c r="AC827" s="310" t="e">
        <f t="shared" ca="1" si="373"/>
        <v>#N/A</v>
      </c>
      <c r="AD827" s="323" t="e">
        <f t="shared" ca="1" si="374"/>
        <v>#N/A</v>
      </c>
      <c r="AE827" s="324" t="e">
        <f t="shared" ca="1" si="353"/>
        <v>#N/A</v>
      </c>
      <c r="AG827" s="306">
        <f t="shared" ca="1" si="375"/>
        <v>1.7705110711358536</v>
      </c>
      <c r="AH827" s="304">
        <f t="shared" ca="1" si="376"/>
        <v>-8.0265915405658124</v>
      </c>
    </row>
    <row r="828" spans="1:34" x14ac:dyDescent="0.2">
      <c r="A828" s="347">
        <f t="shared" ca="1" si="354"/>
        <v>1E-4</v>
      </c>
      <c r="B828" s="304">
        <f t="shared" ca="1" si="355"/>
        <v>39.40700000000048</v>
      </c>
      <c r="D828" s="306">
        <f t="shared" ca="1" si="356"/>
        <v>-0.41145116789580088</v>
      </c>
      <c r="E828" s="307">
        <f t="shared" ca="1" si="357"/>
        <v>-1.7939290691395797</v>
      </c>
      <c r="F828" s="304">
        <f t="shared" ca="1" si="358"/>
        <v>1.8405090515036371</v>
      </c>
      <c r="G828" s="306">
        <f t="shared" ca="1" si="359"/>
        <v>6.8471217044853585</v>
      </c>
      <c r="H828" s="307">
        <f t="shared" ca="1" si="360"/>
        <v>-133.39958948150152</v>
      </c>
      <c r="I828" s="304">
        <f t="shared" ca="1" si="361"/>
        <v>133.57519810754226</v>
      </c>
      <c r="J828" s="306">
        <f t="shared" ca="1" si="362"/>
        <v>539.267207314762</v>
      </c>
      <c r="K828" s="307">
        <f t="shared" ca="1" si="363"/>
        <v>-10.313669110998658</v>
      </c>
      <c r="L828" s="304">
        <f t="shared" ca="1" si="348"/>
        <v>539.36582451578602</v>
      </c>
      <c r="M828" s="306">
        <f t="shared" ca="1" si="364"/>
        <v>-1.5195134241946393</v>
      </c>
      <c r="N828" s="304">
        <f t="shared" ca="1" si="365"/>
        <v>-87.061706119824791</v>
      </c>
      <c r="P828" s="310">
        <f t="shared" ca="1" si="366"/>
        <v>23</v>
      </c>
      <c r="Q828" s="304">
        <f t="shared" ca="1" si="367"/>
        <v>0</v>
      </c>
      <c r="R828" s="306">
        <f t="shared" ca="1" si="368"/>
        <v>0</v>
      </c>
      <c r="S828" s="307">
        <f t="shared" ca="1" si="369"/>
        <v>6.8519999999999914</v>
      </c>
      <c r="T828" s="304">
        <f t="shared" ca="1" si="349"/>
        <v>67.218119999999914</v>
      </c>
      <c r="U828" s="311">
        <f t="shared" ca="1" si="350"/>
        <v>0</v>
      </c>
      <c r="V828" s="306">
        <f t="shared" ca="1" si="351"/>
        <v>1.2262640763293469</v>
      </c>
      <c r="W828" s="304">
        <f t="shared" ca="1" si="352"/>
        <v>54.998643565931971</v>
      </c>
      <c r="Y828" s="314" t="str">
        <f t="shared" ca="1" si="370"/>
        <v/>
      </c>
      <c r="Z828" s="315" t="str">
        <f t="shared" ca="1" si="371"/>
        <v/>
      </c>
      <c r="AA828" s="316" t="str">
        <f t="shared" ca="1" si="372"/>
        <v/>
      </c>
      <c r="AC828" s="310" t="e">
        <f t="shared" ca="1" si="373"/>
        <v>#N/A</v>
      </c>
      <c r="AD828" s="323" t="e">
        <f t="shared" ca="1" si="374"/>
        <v>#N/A</v>
      </c>
      <c r="AE828" s="324" t="e">
        <f t="shared" ca="1" si="353"/>
        <v>#N/A</v>
      </c>
      <c r="AG828" s="306">
        <f t="shared" ca="1" si="375"/>
        <v>1.7704792747682223</v>
      </c>
      <c r="AH828" s="304">
        <f t="shared" ca="1" si="376"/>
        <v>-8.0266235262498924</v>
      </c>
    </row>
    <row r="829" spans="1:34" x14ac:dyDescent="0.2">
      <c r="A829" s="347">
        <f t="shared" ca="1" si="354"/>
        <v>1E-4</v>
      </c>
      <c r="B829" s="304">
        <f t="shared" ca="1" si="355"/>
        <v>39.407100000000483</v>
      </c>
      <c r="D829" s="306">
        <f t="shared" ca="1" si="356"/>
        <v>-0.41144978968403689</v>
      </c>
      <c r="E829" s="307">
        <f t="shared" ca="1" si="357"/>
        <v>-1.7938969708767356</v>
      </c>
      <c r="F829" s="304">
        <f t="shared" ca="1" si="358"/>
        <v>1.8404774574962242</v>
      </c>
      <c r="G829" s="306">
        <f t="shared" ca="1" si="359"/>
        <v>6.8470805595063897</v>
      </c>
      <c r="H829" s="307">
        <f t="shared" ca="1" si="360"/>
        <v>-133.3997688711986</v>
      </c>
      <c r="I829" s="304">
        <f t="shared" ca="1" si="361"/>
        <v>133.57537515229961</v>
      </c>
      <c r="J829" s="306">
        <f t="shared" ca="1" si="362"/>
        <v>539.267207314762</v>
      </c>
      <c r="K829" s="307">
        <f t="shared" ca="1" si="363"/>
        <v>-10.327009078916292</v>
      </c>
      <c r="L829" s="304">
        <f t="shared" ca="1" si="348"/>
        <v>539.36607976547668</v>
      </c>
      <c r="M829" s="306">
        <f t="shared" ca="1" si="364"/>
        <v>-1.5195138006598292</v>
      </c>
      <c r="N829" s="304">
        <f t="shared" ca="1" si="365"/>
        <v>-87.061727689691295</v>
      </c>
      <c r="P829" s="310">
        <f t="shared" ca="1" si="366"/>
        <v>23</v>
      </c>
      <c r="Q829" s="304">
        <f t="shared" ca="1" si="367"/>
        <v>0</v>
      </c>
      <c r="R829" s="306">
        <f t="shared" ca="1" si="368"/>
        <v>0</v>
      </c>
      <c r="S829" s="307">
        <f t="shared" ca="1" si="369"/>
        <v>6.8519999999999914</v>
      </c>
      <c r="T829" s="304">
        <f t="shared" ca="1" si="349"/>
        <v>67.218119999999914</v>
      </c>
      <c r="U829" s="311">
        <f t="shared" ca="1" si="350"/>
        <v>0</v>
      </c>
      <c r="V829" s="306">
        <f t="shared" ca="1" si="351"/>
        <v>1.2262657121632172</v>
      </c>
      <c r="W829" s="304">
        <f t="shared" ca="1" si="352"/>
        <v>54.998862728160198</v>
      </c>
      <c r="Y829" s="314" t="str">
        <f t="shared" ca="1" si="370"/>
        <v/>
      </c>
      <c r="Z829" s="315" t="str">
        <f t="shared" ca="1" si="371"/>
        <v/>
      </c>
      <c r="AA829" s="316" t="str">
        <f t="shared" ca="1" si="372"/>
        <v/>
      </c>
      <c r="AC829" s="310" t="e">
        <f t="shared" ca="1" si="373"/>
        <v>#N/A</v>
      </c>
      <c r="AD829" s="323" t="e">
        <f t="shared" ca="1" si="374"/>
        <v>#N/A</v>
      </c>
      <c r="AE829" s="324" t="e">
        <f t="shared" ca="1" si="353"/>
        <v>#N/A</v>
      </c>
      <c r="AG829" s="306">
        <f t="shared" ca="1" si="375"/>
        <v>1.770447478666032</v>
      </c>
      <c r="AH829" s="304">
        <f t="shared" ca="1" si="376"/>
        <v>-8.0266555116655045</v>
      </c>
    </row>
    <row r="830" spans="1:34" x14ac:dyDescent="0.2">
      <c r="A830" s="347">
        <f t="shared" ca="1" si="354"/>
        <v>1E-4</v>
      </c>
      <c r="B830" s="304">
        <f t="shared" ca="1" si="355"/>
        <v>39.407200000000486</v>
      </c>
      <c r="D830" s="306">
        <f t="shared" ca="1" si="356"/>
        <v>-0.4114484114605364</v>
      </c>
      <c r="E830" s="307">
        <f t="shared" ca="1" si="357"/>
        <v>-1.7938648728832476</v>
      </c>
      <c r="F830" s="304">
        <f t="shared" ca="1" si="358"/>
        <v>1.8404458637672092</v>
      </c>
      <c r="G830" s="306">
        <f t="shared" ca="1" si="359"/>
        <v>6.847039414665244</v>
      </c>
      <c r="H830" s="307">
        <f t="shared" ca="1" si="360"/>
        <v>-133.39994825768588</v>
      </c>
      <c r="I830" s="304">
        <f t="shared" ca="1" si="361"/>
        <v>133.57555219387734</v>
      </c>
      <c r="J830" s="306">
        <f t="shared" ca="1" si="362"/>
        <v>539.267207314762</v>
      </c>
      <c r="K830" s="307">
        <f t="shared" ca="1" si="363"/>
        <v>-10.340349064772736</v>
      </c>
      <c r="L830" s="304">
        <f t="shared" ca="1" si="348"/>
        <v>539.36633534532336</v>
      </c>
      <c r="M830" s="306">
        <f t="shared" ca="1" si="364"/>
        <v>-1.5195141771217591</v>
      </c>
      <c r="N830" s="304">
        <f t="shared" ca="1" si="365"/>
        <v>-87.061749259371027</v>
      </c>
      <c r="P830" s="310">
        <f t="shared" ca="1" si="366"/>
        <v>23</v>
      </c>
      <c r="Q830" s="304">
        <f t="shared" ca="1" si="367"/>
        <v>0</v>
      </c>
      <c r="R830" s="306">
        <f t="shared" ca="1" si="368"/>
        <v>0</v>
      </c>
      <c r="S830" s="307">
        <f t="shared" ca="1" si="369"/>
        <v>6.8519999999999914</v>
      </c>
      <c r="T830" s="304">
        <f t="shared" ca="1" si="349"/>
        <v>67.218119999999914</v>
      </c>
      <c r="U830" s="311">
        <f t="shared" ca="1" si="350"/>
        <v>0</v>
      </c>
      <c r="V830" s="306">
        <f t="shared" ca="1" si="351"/>
        <v>1.2262673480014707</v>
      </c>
      <c r="W830" s="304">
        <f t="shared" ca="1" si="352"/>
        <v>54.999081888548865</v>
      </c>
      <c r="Y830" s="314" t="str">
        <f t="shared" ca="1" si="370"/>
        <v/>
      </c>
      <c r="Z830" s="315" t="str">
        <f t="shared" ca="1" si="371"/>
        <v/>
      </c>
      <c r="AA830" s="316" t="str">
        <f t="shared" ca="1" si="372"/>
        <v/>
      </c>
      <c r="AC830" s="310" t="e">
        <f t="shared" ca="1" si="373"/>
        <v>#N/A</v>
      </c>
      <c r="AD830" s="323" t="e">
        <f t="shared" ca="1" si="374"/>
        <v>#N/A</v>
      </c>
      <c r="AE830" s="324" t="e">
        <f t="shared" ca="1" si="353"/>
        <v>#N/A</v>
      </c>
      <c r="AG830" s="306">
        <f t="shared" ca="1" si="375"/>
        <v>1.7704156828292827</v>
      </c>
      <c r="AH830" s="304">
        <f t="shared" ca="1" si="376"/>
        <v>-8.0266874968126487</v>
      </c>
    </row>
    <row r="831" spans="1:34" x14ac:dyDescent="0.2">
      <c r="A831" s="347">
        <f t="shared" ca="1" si="354"/>
        <v>1E-4</v>
      </c>
      <c r="B831" s="304">
        <f t="shared" ca="1" si="355"/>
        <v>39.40730000000049</v>
      </c>
      <c r="D831" s="306">
        <f t="shared" ca="1" si="356"/>
        <v>-0.41144703322529813</v>
      </c>
      <c r="E831" s="307">
        <f t="shared" ca="1" si="357"/>
        <v>-1.7938327751591228</v>
      </c>
      <c r="F831" s="304">
        <f t="shared" ca="1" si="358"/>
        <v>1.8404142703165991</v>
      </c>
      <c r="G831" s="306">
        <f t="shared" ca="1" si="359"/>
        <v>6.8469982699619214</v>
      </c>
      <c r="H831" s="307">
        <f t="shared" ca="1" si="360"/>
        <v>-133.4001276409634</v>
      </c>
      <c r="I831" s="304">
        <f t="shared" ca="1" si="361"/>
        <v>133.57572923227553</v>
      </c>
      <c r="J831" s="306">
        <f t="shared" ca="1" si="362"/>
        <v>539.267207314762</v>
      </c>
      <c r="K831" s="307">
        <f t="shared" ca="1" si="363"/>
        <v>-10.353689068567668</v>
      </c>
      <c r="L831" s="304">
        <f t="shared" ca="1" si="348"/>
        <v>539.36659125532708</v>
      </c>
      <c r="M831" s="306">
        <f t="shared" ca="1" si="364"/>
        <v>-1.5195145535804286</v>
      </c>
      <c r="N831" s="304">
        <f t="shared" ca="1" si="365"/>
        <v>-87.061770828863956</v>
      </c>
      <c r="P831" s="310">
        <f t="shared" ca="1" si="366"/>
        <v>23</v>
      </c>
      <c r="Q831" s="304">
        <f t="shared" ca="1" si="367"/>
        <v>0</v>
      </c>
      <c r="R831" s="306">
        <f t="shared" ca="1" si="368"/>
        <v>0</v>
      </c>
      <c r="S831" s="307">
        <f t="shared" ca="1" si="369"/>
        <v>6.8519999999999914</v>
      </c>
      <c r="T831" s="304">
        <f t="shared" ca="1" si="349"/>
        <v>67.218119999999914</v>
      </c>
      <c r="U831" s="311">
        <f t="shared" ca="1" si="350"/>
        <v>0</v>
      </c>
      <c r="V831" s="306">
        <f t="shared" ca="1" si="351"/>
        <v>1.2262689838441074</v>
      </c>
      <c r="W831" s="304">
        <f t="shared" ca="1" si="352"/>
        <v>54.999301047097987</v>
      </c>
      <c r="Y831" s="314" t="str">
        <f t="shared" ca="1" si="370"/>
        <v/>
      </c>
      <c r="Z831" s="315" t="str">
        <f t="shared" ca="1" si="371"/>
        <v/>
      </c>
      <c r="AA831" s="316" t="str">
        <f t="shared" ca="1" si="372"/>
        <v/>
      </c>
      <c r="AC831" s="310" t="e">
        <f t="shared" ca="1" si="373"/>
        <v>#N/A</v>
      </c>
      <c r="AD831" s="323" t="e">
        <f t="shared" ca="1" si="374"/>
        <v>#N/A</v>
      </c>
      <c r="AE831" s="324" t="e">
        <f t="shared" ca="1" si="353"/>
        <v>#N/A</v>
      </c>
      <c r="AG831" s="306">
        <f t="shared" ca="1" si="375"/>
        <v>1.7703838872579762</v>
      </c>
      <c r="AH831" s="304">
        <f t="shared" ca="1" si="376"/>
        <v>-8.0267194816913214</v>
      </c>
    </row>
    <row r="832" spans="1:34" x14ac:dyDescent="0.2">
      <c r="A832" s="347">
        <f t="shared" ca="1" si="354"/>
        <v>1E-4</v>
      </c>
      <c r="B832" s="304">
        <f t="shared" ca="1" si="355"/>
        <v>39.407400000000493</v>
      </c>
      <c r="D832" s="306">
        <f t="shared" ca="1" si="356"/>
        <v>-0.41144565497832458</v>
      </c>
      <c r="E832" s="307">
        <f t="shared" ca="1" si="357"/>
        <v>-1.7938006777043558</v>
      </c>
      <c r="F832" s="304">
        <f t="shared" ca="1" si="358"/>
        <v>1.840382677144389</v>
      </c>
      <c r="G832" s="306">
        <f t="shared" ca="1" si="359"/>
        <v>6.8469571253964236</v>
      </c>
      <c r="H832" s="307">
        <f t="shared" ca="1" si="360"/>
        <v>-133.40030702103118</v>
      </c>
      <c r="I832" s="304">
        <f t="shared" ca="1" si="361"/>
        <v>133.57590626749422</v>
      </c>
      <c r="J832" s="306">
        <f t="shared" ca="1" si="362"/>
        <v>539.267207314762</v>
      </c>
      <c r="K832" s="307">
        <f t="shared" ca="1" si="363"/>
        <v>-10.367029090300768</v>
      </c>
      <c r="L832" s="304">
        <f t="shared" ca="1" si="348"/>
        <v>539.36684749548851</v>
      </c>
      <c r="M832" s="306">
        <f t="shared" ca="1" si="364"/>
        <v>-1.5195149300358384</v>
      </c>
      <c r="N832" s="304">
        <f t="shared" ca="1" si="365"/>
        <v>-87.061792398170113</v>
      </c>
      <c r="P832" s="310">
        <f t="shared" ca="1" si="366"/>
        <v>23</v>
      </c>
      <c r="Q832" s="304">
        <f t="shared" ca="1" si="367"/>
        <v>0</v>
      </c>
      <c r="R832" s="306">
        <f t="shared" ca="1" si="368"/>
        <v>0</v>
      </c>
      <c r="S832" s="307">
        <f t="shared" ca="1" si="369"/>
        <v>6.8519999999999914</v>
      </c>
      <c r="T832" s="304">
        <f t="shared" ca="1" si="349"/>
        <v>67.218119999999914</v>
      </c>
      <c r="U832" s="311">
        <f t="shared" ca="1" si="350"/>
        <v>0</v>
      </c>
      <c r="V832" s="306">
        <f t="shared" ca="1" si="351"/>
        <v>1.2262706196911268</v>
      </c>
      <c r="W832" s="304">
        <f t="shared" ca="1" si="352"/>
        <v>54.999520203807563</v>
      </c>
      <c r="Y832" s="314" t="str">
        <f t="shared" ca="1" si="370"/>
        <v/>
      </c>
      <c r="Z832" s="315" t="str">
        <f t="shared" ca="1" si="371"/>
        <v/>
      </c>
      <c r="AA832" s="316" t="str">
        <f t="shared" ca="1" si="372"/>
        <v/>
      </c>
      <c r="AC832" s="310" t="e">
        <f t="shared" ca="1" si="373"/>
        <v>#N/A</v>
      </c>
      <c r="AD832" s="323" t="e">
        <f t="shared" ca="1" si="374"/>
        <v>#N/A</v>
      </c>
      <c r="AE832" s="324" t="e">
        <f t="shared" ca="1" si="353"/>
        <v>#N/A</v>
      </c>
      <c r="AG832" s="306">
        <f t="shared" ca="1" si="375"/>
        <v>1.7703520919521107</v>
      </c>
      <c r="AH832" s="304">
        <f t="shared" ca="1" si="376"/>
        <v>-8.0267514663015262</v>
      </c>
    </row>
    <row r="833" spans="1:34" x14ac:dyDescent="0.2">
      <c r="A833" s="347">
        <f t="shared" ca="1" si="354"/>
        <v>1E-4</v>
      </c>
      <c r="B833" s="304">
        <f t="shared" ca="1" si="355"/>
        <v>39.407500000000496</v>
      </c>
      <c r="D833" s="306">
        <f t="shared" ca="1" si="356"/>
        <v>-0.41144427671961276</v>
      </c>
      <c r="E833" s="307">
        <f t="shared" ca="1" si="357"/>
        <v>-1.7937685805189485</v>
      </c>
      <c r="F833" s="304">
        <f t="shared" ca="1" si="358"/>
        <v>1.8403510842505808</v>
      </c>
      <c r="G833" s="306">
        <f t="shared" ca="1" si="359"/>
        <v>6.8469159809687516</v>
      </c>
      <c r="H833" s="307">
        <f t="shared" ca="1" si="360"/>
        <v>-133.40048639788924</v>
      </c>
      <c r="I833" s="304">
        <f t="shared" ca="1" si="361"/>
        <v>133.57608329953337</v>
      </c>
      <c r="J833" s="306">
        <f t="shared" ca="1" si="362"/>
        <v>539.267207314762</v>
      </c>
      <c r="K833" s="307">
        <f t="shared" ca="1" si="363"/>
        <v>-10.380369129971715</v>
      </c>
      <c r="L833" s="304">
        <f t="shared" ca="1" si="348"/>
        <v>539.36710406580869</v>
      </c>
      <c r="M833" s="306">
        <f t="shared" ca="1" si="364"/>
        <v>-1.519515306487988</v>
      </c>
      <c r="N833" s="304">
        <f t="shared" ca="1" si="365"/>
        <v>-87.061813967289467</v>
      </c>
      <c r="P833" s="310">
        <f t="shared" ca="1" si="366"/>
        <v>23</v>
      </c>
      <c r="Q833" s="304">
        <f t="shared" ca="1" si="367"/>
        <v>0</v>
      </c>
      <c r="R833" s="306">
        <f t="shared" ca="1" si="368"/>
        <v>0</v>
      </c>
      <c r="S833" s="307">
        <f t="shared" ca="1" si="369"/>
        <v>6.8519999999999914</v>
      </c>
      <c r="T833" s="304">
        <f t="shared" ca="1" si="349"/>
        <v>67.218119999999914</v>
      </c>
      <c r="U833" s="311">
        <f t="shared" ca="1" si="350"/>
        <v>0</v>
      </c>
      <c r="V833" s="306">
        <f t="shared" ca="1" si="351"/>
        <v>1.2262722555425296</v>
      </c>
      <c r="W833" s="304">
        <f t="shared" ca="1" si="352"/>
        <v>54.999739358677601</v>
      </c>
      <c r="Y833" s="314" t="str">
        <f t="shared" ca="1" si="370"/>
        <v/>
      </c>
      <c r="Z833" s="315" t="str">
        <f t="shared" ca="1" si="371"/>
        <v/>
      </c>
      <c r="AA833" s="316" t="str">
        <f t="shared" ca="1" si="372"/>
        <v/>
      </c>
      <c r="AC833" s="310" t="e">
        <f t="shared" ca="1" si="373"/>
        <v>#N/A</v>
      </c>
      <c r="AD833" s="323" t="e">
        <f t="shared" ca="1" si="374"/>
        <v>#N/A</v>
      </c>
      <c r="AE833" s="324" t="e">
        <f t="shared" ca="1" si="353"/>
        <v>#N/A</v>
      </c>
      <c r="AG833" s="306">
        <f t="shared" ca="1" si="375"/>
        <v>1.7703202969116862</v>
      </c>
      <c r="AH833" s="304">
        <f t="shared" ca="1" si="376"/>
        <v>-8.0267834506432614</v>
      </c>
    </row>
    <row r="834" spans="1:34" x14ac:dyDescent="0.2">
      <c r="A834" s="347">
        <f t="shared" ca="1" si="354"/>
        <v>1E-4</v>
      </c>
      <c r="B834" s="304">
        <f t="shared" ca="1" si="355"/>
        <v>39.4076000000005</v>
      </c>
      <c r="D834" s="306">
        <f t="shared" ca="1" si="356"/>
        <v>-0.41144289844916521</v>
      </c>
      <c r="E834" s="307">
        <f t="shared" ca="1" si="357"/>
        <v>-1.7937364836028955</v>
      </c>
      <c r="F834" s="304">
        <f t="shared" ca="1" si="358"/>
        <v>1.8403194916351699</v>
      </c>
      <c r="G834" s="306">
        <f t="shared" ca="1" si="359"/>
        <v>6.8468748366789072</v>
      </c>
      <c r="H834" s="307">
        <f t="shared" ca="1" si="360"/>
        <v>-133.4006657715376</v>
      </c>
      <c r="I834" s="304">
        <f t="shared" ca="1" si="361"/>
        <v>133.57626032839306</v>
      </c>
      <c r="J834" s="306">
        <f t="shared" ca="1" si="362"/>
        <v>539.267207314762</v>
      </c>
      <c r="K834" s="307">
        <f t="shared" ca="1" si="363"/>
        <v>-10.393709187580187</v>
      </c>
      <c r="L834" s="304">
        <f t="shared" ca="1" si="348"/>
        <v>539.3673609662884</v>
      </c>
      <c r="M834" s="306">
        <f t="shared" ca="1" si="364"/>
        <v>-1.5195156829368777</v>
      </c>
      <c r="N834" s="304">
        <f t="shared" ca="1" si="365"/>
        <v>-87.061835536222048</v>
      </c>
      <c r="P834" s="310">
        <f t="shared" ca="1" si="366"/>
        <v>23</v>
      </c>
      <c r="Q834" s="304">
        <f t="shared" ca="1" si="367"/>
        <v>0</v>
      </c>
      <c r="R834" s="306">
        <f t="shared" ca="1" si="368"/>
        <v>0</v>
      </c>
      <c r="S834" s="307">
        <f t="shared" ca="1" si="369"/>
        <v>6.8519999999999914</v>
      </c>
      <c r="T834" s="304">
        <f t="shared" ca="1" si="349"/>
        <v>67.218119999999914</v>
      </c>
      <c r="U834" s="311">
        <f t="shared" ca="1" si="350"/>
        <v>0</v>
      </c>
      <c r="V834" s="306">
        <f t="shared" ca="1" si="351"/>
        <v>1.2262738913983153</v>
      </c>
      <c r="W834" s="304">
        <f t="shared" ca="1" si="352"/>
        <v>54.999958511708101</v>
      </c>
      <c r="Y834" s="314" t="str">
        <f t="shared" ca="1" si="370"/>
        <v/>
      </c>
      <c r="Z834" s="315" t="str">
        <f t="shared" ca="1" si="371"/>
        <v/>
      </c>
      <c r="AA834" s="316" t="str">
        <f t="shared" ca="1" si="372"/>
        <v/>
      </c>
      <c r="AC834" s="310" t="e">
        <f t="shared" ca="1" si="373"/>
        <v>#N/A</v>
      </c>
      <c r="AD834" s="323" t="e">
        <f t="shared" ca="1" si="374"/>
        <v>#N/A</v>
      </c>
      <c r="AE834" s="324" t="e">
        <f t="shared" ca="1" si="353"/>
        <v>#N/A</v>
      </c>
      <c r="AG834" s="306">
        <f t="shared" ca="1" si="375"/>
        <v>1.7702885021366992</v>
      </c>
      <c r="AH834" s="304">
        <f t="shared" ca="1" si="376"/>
        <v>-8.0268154347165304</v>
      </c>
    </row>
    <row r="835" spans="1:34" x14ac:dyDescent="0.2">
      <c r="A835" s="347">
        <f t="shared" ca="1" si="354"/>
        <v>1E-4</v>
      </c>
      <c r="B835" s="304">
        <f t="shared" ca="1" si="355"/>
        <v>39.407700000000503</v>
      </c>
      <c r="D835" s="306">
        <f t="shared" ca="1" si="356"/>
        <v>-0.41144152016698265</v>
      </c>
      <c r="E835" s="307">
        <f t="shared" ca="1" si="357"/>
        <v>-1.7937043869562004</v>
      </c>
      <c r="F835" s="304">
        <f t="shared" ca="1" si="358"/>
        <v>1.8402878992981604</v>
      </c>
      <c r="G835" s="306">
        <f t="shared" ca="1" si="359"/>
        <v>6.8468336925268902</v>
      </c>
      <c r="H835" s="307">
        <f t="shared" ca="1" si="360"/>
        <v>-133.4008451419763</v>
      </c>
      <c r="I835" s="304">
        <f t="shared" ca="1" si="361"/>
        <v>133.57643735407328</v>
      </c>
      <c r="J835" s="306">
        <f t="shared" ca="1" si="362"/>
        <v>539.267207314762</v>
      </c>
      <c r="K835" s="307">
        <f t="shared" ca="1" si="363"/>
        <v>-10.407049263125863</v>
      </c>
      <c r="L835" s="304">
        <f t="shared" ca="1" si="348"/>
        <v>539.36761819692845</v>
      </c>
      <c r="M835" s="306">
        <f t="shared" ca="1" si="364"/>
        <v>-1.5195160593825072</v>
      </c>
      <c r="N835" s="304">
        <f t="shared" ca="1" si="365"/>
        <v>-87.061857104967842</v>
      </c>
      <c r="P835" s="310">
        <f t="shared" ca="1" si="366"/>
        <v>23</v>
      </c>
      <c r="Q835" s="304">
        <f t="shared" ca="1" si="367"/>
        <v>0</v>
      </c>
      <c r="R835" s="306">
        <f t="shared" ca="1" si="368"/>
        <v>0</v>
      </c>
      <c r="S835" s="307">
        <f t="shared" ca="1" si="369"/>
        <v>6.8519999999999914</v>
      </c>
      <c r="T835" s="304">
        <f t="shared" ca="1" si="349"/>
        <v>67.218119999999914</v>
      </c>
      <c r="U835" s="311">
        <f t="shared" ca="1" si="350"/>
        <v>0</v>
      </c>
      <c r="V835" s="306">
        <f t="shared" ca="1" si="351"/>
        <v>1.2262755272584835</v>
      </c>
      <c r="W835" s="304">
        <f t="shared" ca="1" si="352"/>
        <v>55.00017766289902</v>
      </c>
      <c r="Y835" s="314" t="str">
        <f t="shared" ca="1" si="370"/>
        <v/>
      </c>
      <c r="Z835" s="315" t="str">
        <f t="shared" ca="1" si="371"/>
        <v/>
      </c>
      <c r="AA835" s="316" t="str">
        <f t="shared" ca="1" si="372"/>
        <v/>
      </c>
      <c r="AC835" s="310" t="e">
        <f t="shared" ca="1" si="373"/>
        <v>#N/A</v>
      </c>
      <c r="AD835" s="323" t="e">
        <f t="shared" ca="1" si="374"/>
        <v>#N/A</v>
      </c>
      <c r="AE835" s="324" t="e">
        <f t="shared" ca="1" si="353"/>
        <v>#N/A</v>
      </c>
      <c r="AG835" s="306">
        <f t="shared" ca="1" si="375"/>
        <v>1.7702567076271514</v>
      </c>
      <c r="AH835" s="304">
        <f t="shared" ca="1" si="376"/>
        <v>-8.0268474185213332</v>
      </c>
    </row>
    <row r="836" spans="1:34" x14ac:dyDescent="0.2">
      <c r="A836" s="347">
        <f t="shared" ca="1" si="354"/>
        <v>1E-4</v>
      </c>
      <c r="B836" s="304">
        <f t="shared" ca="1" si="355"/>
        <v>39.407800000000506</v>
      </c>
      <c r="D836" s="306">
        <f t="shared" ca="1" si="356"/>
        <v>-0.4114401418730651</v>
      </c>
      <c r="E836" s="307">
        <f t="shared" ca="1" si="357"/>
        <v>-1.7936722905788702</v>
      </c>
      <c r="F836" s="304">
        <f t="shared" ca="1" si="358"/>
        <v>1.8402563072395592</v>
      </c>
      <c r="G836" s="306">
        <f t="shared" ca="1" si="359"/>
        <v>6.8467925485127026</v>
      </c>
      <c r="H836" s="307">
        <f t="shared" ca="1" si="360"/>
        <v>-133.40102450920537</v>
      </c>
      <c r="I836" s="304">
        <f t="shared" ca="1" si="361"/>
        <v>133.5766143765741</v>
      </c>
      <c r="J836" s="306">
        <f t="shared" ca="1" si="362"/>
        <v>539.267207314762</v>
      </c>
      <c r="K836" s="307">
        <f t="shared" ca="1" si="363"/>
        <v>-10.420389356608423</v>
      </c>
      <c r="L836" s="304">
        <f t="shared" ref="L836:L899" ca="1" si="377">SQRT(pos_x^2+pos_z^2)</f>
        <v>539.36787575772973</v>
      </c>
      <c r="M836" s="306">
        <f t="shared" ca="1" si="364"/>
        <v>-1.5195164358248769</v>
      </c>
      <c r="N836" s="304">
        <f t="shared" ca="1" si="365"/>
        <v>-87.061878673526849</v>
      </c>
      <c r="P836" s="310">
        <f t="shared" ca="1" si="366"/>
        <v>23</v>
      </c>
      <c r="Q836" s="304">
        <f t="shared" ca="1" si="367"/>
        <v>0</v>
      </c>
      <c r="R836" s="306">
        <f t="shared" ca="1" si="368"/>
        <v>0</v>
      </c>
      <c r="S836" s="307">
        <f t="shared" ca="1" si="369"/>
        <v>6.8519999999999914</v>
      </c>
      <c r="T836" s="304">
        <f t="shared" ref="T836:T899" ca="1" si="378">m*g</f>
        <v>67.218119999999914</v>
      </c>
      <c r="U836" s="311">
        <f t="shared" ref="U836:U899" ca="1" si="379">IF(pos_xz&lt;L_rampe,Poids*COS(Beta),0)</f>
        <v>0</v>
      </c>
      <c r="V836" s="306">
        <f t="shared" ref="V836:V899" ca="1" si="380">Rho_moyen*(20000-Alt_rampe-pos_z)/(20000+Alt_rampe+pos_z)</f>
        <v>1.2262771631230354</v>
      </c>
      <c r="W836" s="304">
        <f t="shared" ref="W836:W899" ca="1" si="381">1/2*Rho*Sref*Cx*vit_xz^2</f>
        <v>55.000396812250436</v>
      </c>
      <c r="Y836" s="314" t="str">
        <f t="shared" ca="1" si="370"/>
        <v/>
      </c>
      <c r="Z836" s="315" t="str">
        <f t="shared" ca="1" si="371"/>
        <v/>
      </c>
      <c r="AA836" s="316" t="str">
        <f t="shared" ca="1" si="372"/>
        <v/>
      </c>
      <c r="AC836" s="310" t="e">
        <f t="shared" ca="1" si="373"/>
        <v>#N/A</v>
      </c>
      <c r="AD836" s="323" t="e">
        <f t="shared" ca="1" si="374"/>
        <v>#N/A</v>
      </c>
      <c r="AE836" s="324" t="e">
        <f t="shared" ref="AE836:AE899" ca="1" si="382">IF(t&lt;T_para, pos_z, NA())</f>
        <v>#N/A</v>
      </c>
      <c r="AG836" s="306">
        <f t="shared" ca="1" si="375"/>
        <v>1.7702249133830534</v>
      </c>
      <c r="AH836" s="304">
        <f t="shared" ca="1" si="376"/>
        <v>-8.026879402057661</v>
      </c>
    </row>
    <row r="837" spans="1:34" x14ac:dyDescent="0.2">
      <c r="A837" s="347">
        <f t="shared" ref="A837:A900" ca="1" si="383">IF(B836+0.01&lt;=T_ini+ROUNDUP(Temps_fin_propu,0), 0.01, IF(K836&gt;0, 0.1, 0.0001))</f>
        <v>1E-4</v>
      </c>
      <c r="B837" s="304">
        <f t="shared" ref="B837:B900" ca="1" si="384">B836+pas</f>
        <v>39.40790000000051</v>
      </c>
      <c r="D837" s="306">
        <f t="shared" ref="D837:D900" ca="1" si="385">IF(AND(L836&lt;L_rampe,Poussee&lt;Poids*SIN(M836)),0,(-W836+Poussee)/m*COS(M836)-U836/m*SIN(M836))</f>
        <v>-0.4114387635674121</v>
      </c>
      <c r="E837" s="307">
        <f t="shared" ref="E837:E900" ca="1" si="386">IF(AND(L836&lt;L_rampe,Poussee&lt;Poids*SIN(M836)),0,(-W836+Poussee)/m*SIN(M836)+U836/m*COS(M836)-Poids/m)</f>
        <v>-1.7936401944708926</v>
      </c>
      <c r="F837" s="304">
        <f t="shared" ref="F837:F900" ca="1" si="387">SQRT(acc_x^2+acc_z^2)</f>
        <v>1.8402247154593545</v>
      </c>
      <c r="G837" s="306">
        <f t="shared" ref="G837:G900" ca="1" si="388">G836+acc_x*pas</f>
        <v>6.846751404636346</v>
      </c>
      <c r="H837" s="307">
        <f t="shared" ref="H837:H900" ca="1" si="389">H836+acc_z*pas</f>
        <v>-133.40120387322483</v>
      </c>
      <c r="I837" s="304">
        <f t="shared" ref="I837:I900" ca="1" si="390">SQRT(vit_x^2+vit_z^2)</f>
        <v>133.57679139589553</v>
      </c>
      <c r="J837" s="306">
        <f t="shared" ref="J837:J900" ca="1" si="391">J836+0.5*(vit_x+G836)*pas*(K836&gt;=0)</f>
        <v>539.267207314762</v>
      </c>
      <c r="K837" s="307">
        <f t="shared" ref="K837:K900" ca="1" si="392">K836+0.5*(vit_z+H836)*pas</f>
        <v>-10.433729468027545</v>
      </c>
      <c r="L837" s="304">
        <f t="shared" ca="1" si="377"/>
        <v>539.36813364869317</v>
      </c>
      <c r="M837" s="306">
        <f t="shared" ref="M837:M900" ca="1" si="393">IF(AND(L836&gt;L_rampe,G837&gt;0),ATAN2(G837,H837),$M$4)</f>
        <v>-1.5195168122639868</v>
      </c>
      <c r="N837" s="304">
        <f t="shared" ref="N837:N900" ca="1" si="394">DEGREES(Beta)</f>
        <v>-87.061900241899096</v>
      </c>
      <c r="P837" s="310">
        <f t="shared" ref="P837:P900" ca="1" si="395">MATCH(t-pas/2-T_ini,CdP_t)</f>
        <v>23</v>
      </c>
      <c r="Q837" s="304">
        <f t="shared" ref="Q837:Q900" ca="1" si="396">(INDEX(CdP,2,i_P+1)-INDEX(CdP,2,i_P+0))/(INDEX(CdP,1,i_P+1)-INDEX(CdP,1,i_P+0))*(t-pas/2-T_ini-INDEX(CdP,1,i_P+0))+INDEX(CdP,2,i_P+0)</f>
        <v>0</v>
      </c>
      <c r="R837" s="306">
        <f t="shared" ref="R837:R900" ca="1" si="397">Poussee/(g*ISP)</f>
        <v>0</v>
      </c>
      <c r="S837" s="307">
        <f t="shared" ref="S837:S900" ca="1" si="398">S836-Débit*pas</f>
        <v>6.8519999999999914</v>
      </c>
      <c r="T837" s="304">
        <f t="shared" ca="1" si="378"/>
        <v>67.218119999999914</v>
      </c>
      <c r="U837" s="311">
        <f t="shared" ca="1" si="379"/>
        <v>0</v>
      </c>
      <c r="V837" s="306">
        <f t="shared" ca="1" si="380"/>
        <v>1.2262787989919695</v>
      </c>
      <c r="W837" s="304">
        <f t="shared" ca="1" si="381"/>
        <v>55.0006159597623</v>
      </c>
      <c r="Y837" s="314" t="str">
        <f t="shared" ref="Y837:Y900" ca="1" si="399">IF(AND(pos_z&lt;=0,K836&gt;0),"Impact balistique","") &amp; IF(AND(H838&lt;0,vit_z&gt;=0),"Apogée","") &amp; IF(AND(Poussee=0,Q836&gt;0),"Fin de propulsion","") &amp; IF(AND(L838&gt;L_rampe,pos_xz&lt;=L_rampe),"Sortie de rampe","")</f>
        <v/>
      </c>
      <c r="Z837" s="315" t="str">
        <f t="shared" ref="Z837:Z900" ca="1" si="400">IF(ABS(t-T_para)&lt;pas/2,"Para","")</f>
        <v/>
      </c>
      <c r="AA837" s="316" t="str">
        <f t="shared" ref="AA837:AA900" ca="1" si="401">IF(ABS(t-T_satellite)&lt;pas/2,"Satellite","")</f>
        <v/>
      </c>
      <c r="AC837" s="310" t="e">
        <f t="shared" ref="AC837:AC900" ca="1" si="402">IF(ABS(t-ROUND(t,0))&lt;0.001,t,NA())</f>
        <v>#N/A</v>
      </c>
      <c r="AD837" s="323" t="e">
        <f t="shared" ref="AD837:AD900" ca="1" si="403">IF(ABS(t-ROUND(t,0))&lt;0.001,pos_x,NA())</f>
        <v>#N/A</v>
      </c>
      <c r="AE837" s="324" t="e">
        <f t="shared" ca="1" si="382"/>
        <v>#N/A</v>
      </c>
      <c r="AG837" s="306">
        <f t="shared" ref="AG837:AG900" ca="1" si="404">IF(AND(L836&lt;L_rampe,Poussee&lt;Poids*SIN(M836)),0,(-W836+Poussee)/m-Poids*SIN(M836)/m)</f>
        <v>1.7701931194043876</v>
      </c>
      <c r="AH837" s="304">
        <f t="shared" ref="AH837:AH900" ca="1" si="405">IF(AND(L836&lt;L_rampe,Poussee&lt;Poids*SIN(M836)), g*SIN(M836), (-W836+Poussee)/m)</f>
        <v>-8.0269113853255263</v>
      </c>
    </row>
    <row r="838" spans="1:34" x14ac:dyDescent="0.2">
      <c r="A838" s="347">
        <f t="shared" ca="1" si="383"/>
        <v>1E-4</v>
      </c>
      <c r="B838" s="304">
        <f t="shared" ca="1" si="384"/>
        <v>39.408000000000513</v>
      </c>
      <c r="D838" s="306">
        <f t="shared" ca="1" si="385"/>
        <v>-0.41143738525002399</v>
      </c>
      <c r="E838" s="307">
        <f t="shared" ca="1" si="386"/>
        <v>-1.7936080986322747</v>
      </c>
      <c r="F838" s="304">
        <f t="shared" ca="1" si="387"/>
        <v>1.8401931239575535</v>
      </c>
      <c r="G838" s="306">
        <f t="shared" ca="1" si="388"/>
        <v>6.8467102608978214</v>
      </c>
      <c r="H838" s="307">
        <f t="shared" ca="1" si="389"/>
        <v>-133.40138323403468</v>
      </c>
      <c r="I838" s="304">
        <f t="shared" ca="1" si="390"/>
        <v>133.57696841203753</v>
      </c>
      <c r="J838" s="306">
        <f t="shared" ca="1" si="391"/>
        <v>539.267207314762</v>
      </c>
      <c r="K838" s="307">
        <f t="shared" ca="1" si="392"/>
        <v>-10.447069597382908</v>
      </c>
      <c r="L838" s="304">
        <f t="shared" ca="1" si="377"/>
        <v>539.36839186981933</v>
      </c>
      <c r="M838" s="306">
        <f t="shared" ca="1" si="393"/>
        <v>-1.5195171886998369</v>
      </c>
      <c r="N838" s="304">
        <f t="shared" ca="1" si="394"/>
        <v>-87.061921810084556</v>
      </c>
      <c r="P838" s="310">
        <f t="shared" ca="1" si="395"/>
        <v>23</v>
      </c>
      <c r="Q838" s="304">
        <f t="shared" ca="1" si="396"/>
        <v>0</v>
      </c>
      <c r="R838" s="306">
        <f t="shared" ca="1" si="397"/>
        <v>0</v>
      </c>
      <c r="S838" s="307">
        <f t="shared" ca="1" si="398"/>
        <v>6.8519999999999914</v>
      </c>
      <c r="T838" s="304">
        <f t="shared" ca="1" si="378"/>
        <v>67.218119999999914</v>
      </c>
      <c r="U838" s="311">
        <f t="shared" ca="1" si="379"/>
        <v>0</v>
      </c>
      <c r="V838" s="306">
        <f t="shared" ca="1" si="380"/>
        <v>1.2262804348652872</v>
      </c>
      <c r="W838" s="304">
        <f t="shared" ca="1" si="381"/>
        <v>55.000835105434618</v>
      </c>
      <c r="Y838" s="314" t="str">
        <f t="shared" ca="1" si="399"/>
        <v/>
      </c>
      <c r="Z838" s="315" t="str">
        <f t="shared" ca="1" si="400"/>
        <v/>
      </c>
      <c r="AA838" s="316" t="str">
        <f t="shared" ca="1" si="401"/>
        <v/>
      </c>
      <c r="AC838" s="310" t="e">
        <f t="shared" ca="1" si="402"/>
        <v>#N/A</v>
      </c>
      <c r="AD838" s="323" t="e">
        <f t="shared" ca="1" si="403"/>
        <v>#N/A</v>
      </c>
      <c r="AE838" s="324" t="e">
        <f t="shared" ca="1" si="382"/>
        <v>#N/A</v>
      </c>
      <c r="AG838" s="306">
        <f t="shared" ca="1" si="404"/>
        <v>1.7701613256911646</v>
      </c>
      <c r="AH838" s="304">
        <f t="shared" ca="1" si="405"/>
        <v>-8.0269433683249218</v>
      </c>
    </row>
    <row r="839" spans="1:34" x14ac:dyDescent="0.2">
      <c r="A839" s="347">
        <f t="shared" ca="1" si="383"/>
        <v>1E-4</v>
      </c>
      <c r="B839" s="304">
        <f t="shared" ca="1" si="384"/>
        <v>39.408100000000516</v>
      </c>
      <c r="D839" s="306">
        <f t="shared" ca="1" si="385"/>
        <v>-0.41143600692090121</v>
      </c>
      <c r="E839" s="307">
        <f t="shared" ca="1" si="386"/>
        <v>-1.7935760030630146</v>
      </c>
      <c r="F839" s="304">
        <f t="shared" ca="1" si="387"/>
        <v>1.8401615327341549</v>
      </c>
      <c r="G839" s="306">
        <f t="shared" ca="1" si="388"/>
        <v>6.8466691172971297</v>
      </c>
      <c r="H839" s="307">
        <f t="shared" ca="1" si="389"/>
        <v>-133.40156259163498</v>
      </c>
      <c r="I839" s="304">
        <f t="shared" ca="1" si="390"/>
        <v>133.57714542500023</v>
      </c>
      <c r="J839" s="306">
        <f t="shared" ca="1" si="391"/>
        <v>539.267207314762</v>
      </c>
      <c r="K839" s="307">
        <f t="shared" ca="1" si="392"/>
        <v>-10.460409744674191</v>
      </c>
      <c r="L839" s="304">
        <f t="shared" ca="1" si="377"/>
        <v>539.36865042110946</v>
      </c>
      <c r="M839" s="306">
        <f t="shared" ca="1" si="393"/>
        <v>-1.5195175651324273</v>
      </c>
      <c r="N839" s="304">
        <f t="shared" ca="1" si="394"/>
        <v>-87.061943378083257</v>
      </c>
      <c r="P839" s="310">
        <f t="shared" ca="1" si="395"/>
        <v>23</v>
      </c>
      <c r="Q839" s="304">
        <f t="shared" ca="1" si="396"/>
        <v>0</v>
      </c>
      <c r="R839" s="306">
        <f t="shared" ca="1" si="397"/>
        <v>0</v>
      </c>
      <c r="S839" s="307">
        <f t="shared" ca="1" si="398"/>
        <v>6.8519999999999914</v>
      </c>
      <c r="T839" s="304">
        <f t="shared" ca="1" si="378"/>
        <v>67.218119999999914</v>
      </c>
      <c r="U839" s="311">
        <f t="shared" ca="1" si="379"/>
        <v>0</v>
      </c>
      <c r="V839" s="306">
        <f t="shared" ca="1" si="380"/>
        <v>1.2262820707429876</v>
      </c>
      <c r="W839" s="304">
        <f t="shared" ca="1" si="381"/>
        <v>55.001054249267426</v>
      </c>
      <c r="Y839" s="314" t="str">
        <f t="shared" ca="1" si="399"/>
        <v/>
      </c>
      <c r="Z839" s="315" t="str">
        <f t="shared" ca="1" si="400"/>
        <v/>
      </c>
      <c r="AA839" s="316" t="str">
        <f t="shared" ca="1" si="401"/>
        <v/>
      </c>
      <c r="AC839" s="310" t="e">
        <f t="shared" ca="1" si="402"/>
        <v>#N/A</v>
      </c>
      <c r="AD839" s="323" t="e">
        <f t="shared" ca="1" si="403"/>
        <v>#N/A</v>
      </c>
      <c r="AE839" s="324" t="e">
        <f t="shared" ca="1" si="382"/>
        <v>#N/A</v>
      </c>
      <c r="AG839" s="306">
        <f t="shared" ca="1" si="404"/>
        <v>1.7701295322433825</v>
      </c>
      <c r="AH839" s="304">
        <f t="shared" ca="1" si="405"/>
        <v>-8.0269753510558495</v>
      </c>
    </row>
    <row r="840" spans="1:34" x14ac:dyDescent="0.2">
      <c r="A840" s="347">
        <f t="shared" ca="1" si="383"/>
        <v>1E-4</v>
      </c>
      <c r="B840" s="304">
        <f t="shared" ca="1" si="384"/>
        <v>39.408200000000519</v>
      </c>
      <c r="D840" s="306">
        <f t="shared" ca="1" si="385"/>
        <v>-0.4114346285800432</v>
      </c>
      <c r="E840" s="307">
        <f t="shared" ca="1" si="386"/>
        <v>-1.793543907763107</v>
      </c>
      <c r="F840" s="304">
        <f t="shared" ca="1" si="387"/>
        <v>1.8401299417891537</v>
      </c>
      <c r="G840" s="306">
        <f t="shared" ca="1" si="388"/>
        <v>6.8466279738342717</v>
      </c>
      <c r="H840" s="307">
        <f t="shared" ca="1" si="389"/>
        <v>-133.40174194602577</v>
      </c>
      <c r="I840" s="304">
        <f t="shared" ca="1" si="390"/>
        <v>133.57732243478361</v>
      </c>
      <c r="J840" s="306">
        <f t="shared" ca="1" si="391"/>
        <v>539.267207314762</v>
      </c>
      <c r="K840" s="307">
        <f t="shared" ca="1" si="392"/>
        <v>-10.473749909901073</v>
      </c>
      <c r="L840" s="304">
        <f t="shared" ca="1" si="377"/>
        <v>539.36890930256413</v>
      </c>
      <c r="M840" s="306">
        <f t="shared" ca="1" si="393"/>
        <v>-1.5195179415617579</v>
      </c>
      <c r="N840" s="304">
        <f t="shared" ca="1" si="394"/>
        <v>-87.061964945895184</v>
      </c>
      <c r="P840" s="310">
        <f t="shared" ca="1" si="395"/>
        <v>23</v>
      </c>
      <c r="Q840" s="304">
        <f t="shared" ca="1" si="396"/>
        <v>0</v>
      </c>
      <c r="R840" s="306">
        <f t="shared" ca="1" si="397"/>
        <v>0</v>
      </c>
      <c r="S840" s="307">
        <f t="shared" ca="1" si="398"/>
        <v>6.8519999999999914</v>
      </c>
      <c r="T840" s="304">
        <f t="shared" ca="1" si="378"/>
        <v>67.218119999999914</v>
      </c>
      <c r="U840" s="311">
        <f t="shared" ca="1" si="379"/>
        <v>0</v>
      </c>
      <c r="V840" s="306">
        <f t="shared" ca="1" si="380"/>
        <v>1.2262837066250707</v>
      </c>
      <c r="W840" s="304">
        <f t="shared" ca="1" si="381"/>
        <v>55.001273391260703</v>
      </c>
      <c r="Y840" s="314" t="str">
        <f t="shared" ca="1" si="399"/>
        <v/>
      </c>
      <c r="Z840" s="315" t="str">
        <f t="shared" ca="1" si="400"/>
        <v/>
      </c>
      <c r="AA840" s="316" t="str">
        <f t="shared" ca="1" si="401"/>
        <v/>
      </c>
      <c r="AC840" s="310" t="e">
        <f t="shared" ca="1" si="402"/>
        <v>#N/A</v>
      </c>
      <c r="AD840" s="323" t="e">
        <f t="shared" ca="1" si="403"/>
        <v>#N/A</v>
      </c>
      <c r="AE840" s="324" t="e">
        <f t="shared" ca="1" si="382"/>
        <v>#N/A</v>
      </c>
      <c r="AG840" s="306">
        <f t="shared" ca="1" si="404"/>
        <v>1.7700977390610362</v>
      </c>
      <c r="AH840" s="304">
        <f t="shared" ca="1" si="405"/>
        <v>-8.0270073335183145</v>
      </c>
    </row>
    <row r="841" spans="1:34" x14ac:dyDescent="0.2">
      <c r="A841" s="347">
        <f t="shared" ca="1" si="383"/>
        <v>1E-4</v>
      </c>
      <c r="B841" s="304">
        <f t="shared" ca="1" si="384"/>
        <v>39.408300000000523</v>
      </c>
      <c r="D841" s="306">
        <f t="shared" ca="1" si="385"/>
        <v>-0.41143325022745203</v>
      </c>
      <c r="E841" s="307">
        <f t="shared" ca="1" si="386"/>
        <v>-1.7935118127325556</v>
      </c>
      <c r="F841" s="304">
        <f t="shared" ca="1" si="387"/>
        <v>1.8400983511225542</v>
      </c>
      <c r="G841" s="306">
        <f t="shared" ca="1" si="388"/>
        <v>6.8465868305092492</v>
      </c>
      <c r="H841" s="307">
        <f t="shared" ca="1" si="389"/>
        <v>-133.40192129720702</v>
      </c>
      <c r="I841" s="304">
        <f t="shared" ca="1" si="390"/>
        <v>133.57749944138766</v>
      </c>
      <c r="J841" s="306">
        <f t="shared" ca="1" si="391"/>
        <v>539.267207314762</v>
      </c>
      <c r="K841" s="307">
        <f t="shared" ca="1" si="392"/>
        <v>-10.487090093063236</v>
      </c>
      <c r="L841" s="304">
        <f t="shared" ca="1" si="377"/>
        <v>539.36916851418425</v>
      </c>
      <c r="M841" s="306">
        <f t="shared" ca="1" si="393"/>
        <v>-1.5195183179878287</v>
      </c>
      <c r="N841" s="304">
        <f t="shared" ca="1" si="394"/>
        <v>-87.061986513520338</v>
      </c>
      <c r="P841" s="310">
        <f t="shared" ca="1" si="395"/>
        <v>23</v>
      </c>
      <c r="Q841" s="304">
        <f t="shared" ca="1" si="396"/>
        <v>0</v>
      </c>
      <c r="R841" s="306">
        <f t="shared" ca="1" si="397"/>
        <v>0</v>
      </c>
      <c r="S841" s="307">
        <f t="shared" ca="1" si="398"/>
        <v>6.8519999999999914</v>
      </c>
      <c r="T841" s="304">
        <f t="shared" ca="1" si="378"/>
        <v>67.218119999999914</v>
      </c>
      <c r="U841" s="311">
        <f t="shared" ca="1" si="379"/>
        <v>0</v>
      </c>
      <c r="V841" s="306">
        <f t="shared" ca="1" si="380"/>
        <v>1.2262853425115361</v>
      </c>
      <c r="W841" s="304">
        <f t="shared" ca="1" si="381"/>
        <v>55.001492531414392</v>
      </c>
      <c r="Y841" s="314" t="str">
        <f t="shared" ca="1" si="399"/>
        <v/>
      </c>
      <c r="Z841" s="315" t="str">
        <f t="shared" ca="1" si="400"/>
        <v/>
      </c>
      <c r="AA841" s="316" t="str">
        <f t="shared" ca="1" si="401"/>
        <v/>
      </c>
      <c r="AC841" s="310" t="e">
        <f t="shared" ca="1" si="402"/>
        <v>#N/A</v>
      </c>
      <c r="AD841" s="323" t="e">
        <f t="shared" ca="1" si="403"/>
        <v>#N/A</v>
      </c>
      <c r="AE841" s="324" t="e">
        <f t="shared" ca="1" si="382"/>
        <v>#N/A</v>
      </c>
      <c r="AG841" s="306">
        <f t="shared" ca="1" si="404"/>
        <v>1.7700659461441255</v>
      </c>
      <c r="AH841" s="304">
        <f t="shared" ca="1" si="405"/>
        <v>-8.0270393157123134</v>
      </c>
    </row>
    <row r="842" spans="1:34" x14ac:dyDescent="0.2">
      <c r="A842" s="347">
        <f t="shared" ca="1" si="383"/>
        <v>1E-4</v>
      </c>
      <c r="B842" s="304">
        <f t="shared" ca="1" si="384"/>
        <v>39.408400000000526</v>
      </c>
      <c r="D842" s="306">
        <f t="shared" ca="1" si="385"/>
        <v>-0.41143187186312774</v>
      </c>
      <c r="E842" s="307">
        <f t="shared" ca="1" si="386"/>
        <v>-1.7934797179713708</v>
      </c>
      <c r="F842" s="304">
        <f t="shared" ca="1" si="387"/>
        <v>1.8400667607343668</v>
      </c>
      <c r="G842" s="306">
        <f t="shared" ca="1" si="388"/>
        <v>6.8465456873220631</v>
      </c>
      <c r="H842" s="307">
        <f t="shared" ca="1" si="389"/>
        <v>-133.40210064517882</v>
      </c>
      <c r="I842" s="304">
        <f t="shared" ca="1" si="390"/>
        <v>133.57767644481245</v>
      </c>
      <c r="J842" s="306">
        <f t="shared" ca="1" si="391"/>
        <v>539.267207314762</v>
      </c>
      <c r="K842" s="307">
        <f t="shared" ca="1" si="392"/>
        <v>-10.500430294160354</v>
      </c>
      <c r="L842" s="304">
        <f t="shared" ca="1" si="377"/>
        <v>539.36942805597073</v>
      </c>
      <c r="M842" s="306">
        <f t="shared" ca="1" si="393"/>
        <v>-1.5195186944106398</v>
      </c>
      <c r="N842" s="304">
        <f t="shared" ca="1" si="394"/>
        <v>-87.062008080958734</v>
      </c>
      <c r="P842" s="310">
        <f t="shared" ca="1" si="395"/>
        <v>23</v>
      </c>
      <c r="Q842" s="304">
        <f t="shared" ca="1" si="396"/>
        <v>0</v>
      </c>
      <c r="R842" s="306">
        <f t="shared" ca="1" si="397"/>
        <v>0</v>
      </c>
      <c r="S842" s="307">
        <f t="shared" ca="1" si="398"/>
        <v>6.8519999999999914</v>
      </c>
      <c r="T842" s="304">
        <f t="shared" ca="1" si="378"/>
        <v>67.218119999999914</v>
      </c>
      <c r="U842" s="311">
        <f t="shared" ca="1" si="379"/>
        <v>0</v>
      </c>
      <c r="V842" s="306">
        <f t="shared" ca="1" si="380"/>
        <v>1.2262869784023849</v>
      </c>
      <c r="W842" s="304">
        <f t="shared" ca="1" si="381"/>
        <v>55.001711669728586</v>
      </c>
      <c r="Y842" s="314" t="str">
        <f t="shared" ca="1" si="399"/>
        <v/>
      </c>
      <c r="Z842" s="315" t="str">
        <f t="shared" ca="1" si="400"/>
        <v/>
      </c>
      <c r="AA842" s="316" t="str">
        <f t="shared" ca="1" si="401"/>
        <v/>
      </c>
      <c r="AC842" s="310" t="e">
        <f t="shared" ca="1" si="402"/>
        <v>#N/A</v>
      </c>
      <c r="AD842" s="323" t="e">
        <f t="shared" ca="1" si="403"/>
        <v>#N/A</v>
      </c>
      <c r="AE842" s="324" t="e">
        <f t="shared" ca="1" si="382"/>
        <v>#N/A</v>
      </c>
      <c r="AG842" s="306">
        <f t="shared" ca="1" si="404"/>
        <v>1.7700341534926665</v>
      </c>
      <c r="AH842" s="304">
        <f t="shared" ca="1" si="405"/>
        <v>-8.0270712976378373</v>
      </c>
    </row>
    <row r="843" spans="1:34" x14ac:dyDescent="0.2">
      <c r="A843" s="347">
        <f t="shared" ca="1" si="383"/>
        <v>1E-4</v>
      </c>
      <c r="B843" s="304">
        <f t="shared" ca="1" si="384"/>
        <v>39.408500000000529</v>
      </c>
      <c r="D843" s="306">
        <f t="shared" ca="1" si="385"/>
        <v>-0.41143049348707006</v>
      </c>
      <c r="E843" s="307">
        <f t="shared" ca="1" si="386"/>
        <v>-1.7934476234795351</v>
      </c>
      <c r="F843" s="304">
        <f t="shared" ca="1" si="387"/>
        <v>1.8400351706245743</v>
      </c>
      <c r="G843" s="306">
        <f t="shared" ca="1" si="388"/>
        <v>6.8465045442727144</v>
      </c>
      <c r="H843" s="307">
        <f t="shared" ca="1" si="389"/>
        <v>-133.40227998994118</v>
      </c>
      <c r="I843" s="304">
        <f t="shared" ca="1" si="390"/>
        <v>133.57785344505805</v>
      </c>
      <c r="J843" s="306">
        <f t="shared" ca="1" si="391"/>
        <v>539.267207314762</v>
      </c>
      <c r="K843" s="307">
        <f t="shared" ca="1" si="392"/>
        <v>-10.51377051319211</v>
      </c>
      <c r="L843" s="304">
        <f t="shared" ca="1" si="377"/>
        <v>539.36968792792447</v>
      </c>
      <c r="M843" s="306">
        <f t="shared" ca="1" si="393"/>
        <v>-1.5195190708301916</v>
      </c>
      <c r="N843" s="304">
        <f t="shared" ca="1" si="394"/>
        <v>-87.06202964821037</v>
      </c>
      <c r="P843" s="310">
        <f t="shared" ca="1" si="395"/>
        <v>23</v>
      </c>
      <c r="Q843" s="304">
        <f t="shared" ca="1" si="396"/>
        <v>0</v>
      </c>
      <c r="R843" s="306">
        <f t="shared" ca="1" si="397"/>
        <v>0</v>
      </c>
      <c r="S843" s="307">
        <f t="shared" ca="1" si="398"/>
        <v>6.8519999999999914</v>
      </c>
      <c r="T843" s="304">
        <f t="shared" ca="1" si="378"/>
        <v>67.218119999999914</v>
      </c>
      <c r="U843" s="311">
        <f t="shared" ca="1" si="379"/>
        <v>0</v>
      </c>
      <c r="V843" s="306">
        <f t="shared" ca="1" si="380"/>
        <v>1.2262886142976166</v>
      </c>
      <c r="W843" s="304">
        <f t="shared" ca="1" si="381"/>
        <v>55.001930806203298</v>
      </c>
      <c r="Y843" s="314" t="str">
        <f t="shared" ca="1" si="399"/>
        <v/>
      </c>
      <c r="Z843" s="315" t="str">
        <f t="shared" ca="1" si="400"/>
        <v/>
      </c>
      <c r="AA843" s="316" t="str">
        <f t="shared" ca="1" si="401"/>
        <v/>
      </c>
      <c r="AC843" s="310" t="e">
        <f t="shared" ca="1" si="402"/>
        <v>#N/A</v>
      </c>
      <c r="AD843" s="323" t="e">
        <f t="shared" ca="1" si="403"/>
        <v>#N/A</v>
      </c>
      <c r="AE843" s="324" t="e">
        <f t="shared" ca="1" si="382"/>
        <v>#N/A</v>
      </c>
      <c r="AG843" s="306">
        <f t="shared" ca="1" si="404"/>
        <v>1.7700023611066396</v>
      </c>
      <c r="AH843" s="304">
        <f t="shared" ca="1" si="405"/>
        <v>-8.0271032792949004</v>
      </c>
    </row>
    <row r="844" spans="1:34" x14ac:dyDescent="0.2">
      <c r="A844" s="347">
        <f t="shared" ca="1" si="383"/>
        <v>1E-4</v>
      </c>
      <c r="B844" s="304">
        <f t="shared" ca="1" si="384"/>
        <v>39.408600000000533</v>
      </c>
      <c r="D844" s="306">
        <f t="shared" ca="1" si="385"/>
        <v>-0.41142911509927782</v>
      </c>
      <c r="E844" s="307">
        <f t="shared" ca="1" si="386"/>
        <v>-1.7934155292570502</v>
      </c>
      <c r="F844" s="304">
        <f t="shared" ca="1" si="387"/>
        <v>1.8400035807931789</v>
      </c>
      <c r="G844" s="306">
        <f t="shared" ca="1" si="388"/>
        <v>6.8464634013612047</v>
      </c>
      <c r="H844" s="307">
        <f t="shared" ca="1" si="389"/>
        <v>-133.4024593314941</v>
      </c>
      <c r="I844" s="304">
        <f t="shared" ca="1" si="390"/>
        <v>133.5780304421244</v>
      </c>
      <c r="J844" s="306">
        <f t="shared" ca="1" si="391"/>
        <v>539.267207314762</v>
      </c>
      <c r="K844" s="307">
        <f t="shared" ca="1" si="392"/>
        <v>-10.527110750158181</v>
      </c>
      <c r="L844" s="304">
        <f t="shared" ca="1" si="377"/>
        <v>539.36994813004605</v>
      </c>
      <c r="M844" s="306">
        <f t="shared" ca="1" si="393"/>
        <v>-1.5195194472464835</v>
      </c>
      <c r="N844" s="304">
        <f t="shared" ca="1" si="394"/>
        <v>-87.062051215275247</v>
      </c>
      <c r="P844" s="310">
        <f t="shared" ca="1" si="395"/>
        <v>23</v>
      </c>
      <c r="Q844" s="304">
        <f t="shared" ca="1" si="396"/>
        <v>0</v>
      </c>
      <c r="R844" s="306">
        <f t="shared" ca="1" si="397"/>
        <v>0</v>
      </c>
      <c r="S844" s="307">
        <f t="shared" ca="1" si="398"/>
        <v>6.8519999999999914</v>
      </c>
      <c r="T844" s="304">
        <f t="shared" ca="1" si="378"/>
        <v>67.218119999999914</v>
      </c>
      <c r="U844" s="311">
        <f t="shared" ca="1" si="379"/>
        <v>0</v>
      </c>
      <c r="V844" s="306">
        <f t="shared" ca="1" si="380"/>
        <v>1.2262902501972306</v>
      </c>
      <c r="W844" s="304">
        <f t="shared" ca="1" si="381"/>
        <v>55.002149940838443</v>
      </c>
      <c r="Y844" s="314" t="str">
        <f t="shared" ca="1" si="399"/>
        <v/>
      </c>
      <c r="Z844" s="315" t="str">
        <f t="shared" ca="1" si="400"/>
        <v/>
      </c>
      <c r="AA844" s="316" t="str">
        <f t="shared" ca="1" si="401"/>
        <v/>
      </c>
      <c r="AC844" s="310" t="e">
        <f t="shared" ca="1" si="402"/>
        <v>#N/A</v>
      </c>
      <c r="AD844" s="323" t="e">
        <f t="shared" ca="1" si="403"/>
        <v>#N/A</v>
      </c>
      <c r="AE844" s="324" t="e">
        <f t="shared" ca="1" si="382"/>
        <v>#N/A</v>
      </c>
      <c r="AG844" s="306">
        <f t="shared" ca="1" si="404"/>
        <v>1.7699705689860448</v>
      </c>
      <c r="AH844" s="304">
        <f t="shared" ca="1" si="405"/>
        <v>-8.0271352606835027</v>
      </c>
    </row>
    <row r="845" spans="1:34" x14ac:dyDescent="0.2">
      <c r="A845" s="347">
        <f t="shared" ca="1" si="383"/>
        <v>1E-4</v>
      </c>
      <c r="B845" s="304">
        <f t="shared" ca="1" si="384"/>
        <v>39.408700000000536</v>
      </c>
      <c r="D845" s="306">
        <f t="shared" ca="1" si="385"/>
        <v>-0.41142773669975463</v>
      </c>
      <c r="E845" s="307">
        <f t="shared" ca="1" si="386"/>
        <v>-1.7933834353039249</v>
      </c>
      <c r="F845" s="304">
        <f t="shared" ca="1" si="387"/>
        <v>1.83997199124019</v>
      </c>
      <c r="G845" s="306">
        <f t="shared" ca="1" si="388"/>
        <v>6.8464222585875349</v>
      </c>
      <c r="H845" s="307">
        <f t="shared" ca="1" si="389"/>
        <v>-133.40263866983764</v>
      </c>
      <c r="I845" s="304">
        <f t="shared" ca="1" si="390"/>
        <v>133.57820743601161</v>
      </c>
      <c r="J845" s="306">
        <f t="shared" ca="1" si="391"/>
        <v>539.267207314762</v>
      </c>
      <c r="K845" s="307">
        <f t="shared" ca="1" si="392"/>
        <v>-10.540451005058248</v>
      </c>
      <c r="L845" s="304">
        <f t="shared" ca="1" si="377"/>
        <v>539.37020866233661</v>
      </c>
      <c r="M845" s="306">
        <f t="shared" ca="1" si="393"/>
        <v>-1.519519823659516</v>
      </c>
      <c r="N845" s="304">
        <f t="shared" ca="1" si="394"/>
        <v>-87.062072782153365</v>
      </c>
      <c r="P845" s="310">
        <f t="shared" ca="1" si="395"/>
        <v>23</v>
      </c>
      <c r="Q845" s="304">
        <f t="shared" ca="1" si="396"/>
        <v>0</v>
      </c>
      <c r="R845" s="306">
        <f t="shared" ca="1" si="397"/>
        <v>0</v>
      </c>
      <c r="S845" s="307">
        <f t="shared" ca="1" si="398"/>
        <v>6.8519999999999914</v>
      </c>
      <c r="T845" s="304">
        <f t="shared" ca="1" si="378"/>
        <v>67.218119999999914</v>
      </c>
      <c r="U845" s="311">
        <f t="shared" ca="1" si="379"/>
        <v>0</v>
      </c>
      <c r="V845" s="306">
        <f t="shared" ca="1" si="380"/>
        <v>1.2262918861012275</v>
      </c>
      <c r="W845" s="304">
        <f t="shared" ca="1" si="381"/>
        <v>55.0023690736341</v>
      </c>
      <c r="Y845" s="314" t="str">
        <f t="shared" ca="1" si="399"/>
        <v/>
      </c>
      <c r="Z845" s="315" t="str">
        <f t="shared" ca="1" si="400"/>
        <v/>
      </c>
      <c r="AA845" s="316" t="str">
        <f t="shared" ca="1" si="401"/>
        <v/>
      </c>
      <c r="AC845" s="310" t="e">
        <f t="shared" ca="1" si="402"/>
        <v>#N/A</v>
      </c>
      <c r="AD845" s="323" t="e">
        <f t="shared" ca="1" si="403"/>
        <v>#N/A</v>
      </c>
      <c r="AE845" s="324" t="e">
        <f t="shared" ca="1" si="382"/>
        <v>#N/A</v>
      </c>
      <c r="AG845" s="306">
        <f t="shared" ca="1" si="404"/>
        <v>1.7699387771308963</v>
      </c>
      <c r="AH845" s="304">
        <f t="shared" ca="1" si="405"/>
        <v>-8.0271672418036353</v>
      </c>
    </row>
    <row r="846" spans="1:34" x14ac:dyDescent="0.2">
      <c r="A846" s="347">
        <f t="shared" ca="1" si="383"/>
        <v>1E-4</v>
      </c>
      <c r="B846" s="304">
        <f t="shared" ca="1" si="384"/>
        <v>39.408800000000539</v>
      </c>
      <c r="D846" s="306">
        <f t="shared" ca="1" si="385"/>
        <v>-0.41142635828849811</v>
      </c>
      <c r="E846" s="307">
        <f t="shared" ca="1" si="386"/>
        <v>-1.7933513416201521</v>
      </c>
      <c r="F846" s="304">
        <f t="shared" ca="1" si="387"/>
        <v>1.8399404019656003</v>
      </c>
      <c r="G846" s="306">
        <f t="shared" ca="1" si="388"/>
        <v>6.8463811159517061</v>
      </c>
      <c r="H846" s="307">
        <f t="shared" ca="1" si="389"/>
        <v>-133.40281800497181</v>
      </c>
      <c r="I846" s="304">
        <f t="shared" ca="1" si="390"/>
        <v>133.57838442671962</v>
      </c>
      <c r="J846" s="306">
        <f t="shared" ca="1" si="391"/>
        <v>539.267207314762</v>
      </c>
      <c r="K846" s="307">
        <f t="shared" ca="1" si="392"/>
        <v>-10.553791277891989</v>
      </c>
      <c r="L846" s="304">
        <f t="shared" ca="1" si="377"/>
        <v>539.37046952479682</v>
      </c>
      <c r="M846" s="306">
        <f t="shared" ca="1" si="393"/>
        <v>-1.5195202000692889</v>
      </c>
      <c r="N846" s="304">
        <f t="shared" ca="1" si="394"/>
        <v>-87.06209434884471</v>
      </c>
      <c r="P846" s="310">
        <f t="shared" ca="1" si="395"/>
        <v>23</v>
      </c>
      <c r="Q846" s="304">
        <f t="shared" ca="1" si="396"/>
        <v>0</v>
      </c>
      <c r="R846" s="306">
        <f t="shared" ca="1" si="397"/>
        <v>0</v>
      </c>
      <c r="S846" s="307">
        <f t="shared" ca="1" si="398"/>
        <v>6.8519999999999914</v>
      </c>
      <c r="T846" s="304">
        <f t="shared" ca="1" si="378"/>
        <v>67.218119999999914</v>
      </c>
      <c r="U846" s="311">
        <f t="shared" ca="1" si="379"/>
        <v>0</v>
      </c>
      <c r="V846" s="306">
        <f t="shared" ca="1" si="380"/>
        <v>1.226293522009607</v>
      </c>
      <c r="W846" s="304">
        <f t="shared" ca="1" si="381"/>
        <v>55.002588204590211</v>
      </c>
      <c r="Y846" s="314" t="str">
        <f t="shared" ca="1" si="399"/>
        <v/>
      </c>
      <c r="Z846" s="315" t="str">
        <f t="shared" ca="1" si="400"/>
        <v/>
      </c>
      <c r="AA846" s="316" t="str">
        <f t="shared" ca="1" si="401"/>
        <v/>
      </c>
      <c r="AC846" s="310" t="e">
        <f t="shared" ca="1" si="402"/>
        <v>#N/A</v>
      </c>
      <c r="AD846" s="323" t="e">
        <f t="shared" ca="1" si="403"/>
        <v>#N/A</v>
      </c>
      <c r="AE846" s="324" t="e">
        <f t="shared" ca="1" si="382"/>
        <v>#N/A</v>
      </c>
      <c r="AG846" s="306">
        <f t="shared" ca="1" si="404"/>
        <v>1.76990698554118</v>
      </c>
      <c r="AH846" s="304">
        <f t="shared" ca="1" si="405"/>
        <v>-8.0271992226553071</v>
      </c>
    </row>
    <row r="847" spans="1:34" x14ac:dyDescent="0.2">
      <c r="A847" s="347">
        <f t="shared" ca="1" si="383"/>
        <v>1E-4</v>
      </c>
      <c r="B847" s="304">
        <f t="shared" ca="1" si="384"/>
        <v>39.408900000000543</v>
      </c>
      <c r="D847" s="306">
        <f t="shared" ca="1" si="385"/>
        <v>-0.4114249798655103</v>
      </c>
      <c r="E847" s="307">
        <f t="shared" ca="1" si="386"/>
        <v>-1.7933192482057354</v>
      </c>
      <c r="F847" s="304">
        <f t="shared" ca="1" si="387"/>
        <v>1.8399088129694143</v>
      </c>
      <c r="G847" s="306">
        <f t="shared" ca="1" si="388"/>
        <v>6.8463399734537198</v>
      </c>
      <c r="H847" s="307">
        <f t="shared" ca="1" si="389"/>
        <v>-133.40299733689662</v>
      </c>
      <c r="I847" s="304">
        <f t="shared" ca="1" si="390"/>
        <v>133.5785614142485</v>
      </c>
      <c r="J847" s="306">
        <f t="shared" ca="1" si="391"/>
        <v>539.267207314762</v>
      </c>
      <c r="K847" s="307">
        <f t="shared" ca="1" si="392"/>
        <v>-10.567131568659082</v>
      </c>
      <c r="L847" s="304">
        <f t="shared" ca="1" si="377"/>
        <v>539.3707307174277</v>
      </c>
      <c r="M847" s="306">
        <f t="shared" ca="1" si="393"/>
        <v>-1.5195205764758024</v>
      </c>
      <c r="N847" s="304">
        <f t="shared" ca="1" si="394"/>
        <v>-87.062115915349324</v>
      </c>
      <c r="P847" s="310">
        <f t="shared" ca="1" si="395"/>
        <v>23</v>
      </c>
      <c r="Q847" s="304">
        <f t="shared" ca="1" si="396"/>
        <v>0</v>
      </c>
      <c r="R847" s="306">
        <f t="shared" ca="1" si="397"/>
        <v>0</v>
      </c>
      <c r="S847" s="307">
        <f t="shared" ca="1" si="398"/>
        <v>6.8519999999999914</v>
      </c>
      <c r="T847" s="304">
        <f t="shared" ca="1" si="378"/>
        <v>67.218119999999914</v>
      </c>
      <c r="U847" s="311">
        <f t="shared" ca="1" si="379"/>
        <v>0</v>
      </c>
      <c r="V847" s="306">
        <f t="shared" ca="1" si="380"/>
        <v>1.2262951579223693</v>
      </c>
      <c r="W847" s="304">
        <f t="shared" ca="1" si="381"/>
        <v>55.002807333706819</v>
      </c>
      <c r="Y847" s="314" t="str">
        <f t="shared" ca="1" si="399"/>
        <v/>
      </c>
      <c r="Z847" s="315" t="str">
        <f t="shared" ca="1" si="400"/>
        <v/>
      </c>
      <c r="AA847" s="316" t="str">
        <f t="shared" ca="1" si="401"/>
        <v/>
      </c>
      <c r="AC847" s="310" t="e">
        <f t="shared" ca="1" si="402"/>
        <v>#N/A</v>
      </c>
      <c r="AD847" s="323" t="e">
        <f t="shared" ca="1" si="403"/>
        <v>#N/A</v>
      </c>
      <c r="AE847" s="324" t="e">
        <f t="shared" ca="1" si="382"/>
        <v>#N/A</v>
      </c>
      <c r="AG847" s="306">
        <f t="shared" ca="1" si="404"/>
        <v>1.7698751942169029</v>
      </c>
      <c r="AH847" s="304">
        <f t="shared" ca="1" si="405"/>
        <v>-8.0272312032385109</v>
      </c>
    </row>
    <row r="848" spans="1:34" x14ac:dyDescent="0.2">
      <c r="A848" s="347">
        <f t="shared" ca="1" si="383"/>
        <v>1E-4</v>
      </c>
      <c r="B848" s="304">
        <f t="shared" ca="1" si="384"/>
        <v>39.409000000000546</v>
      </c>
      <c r="D848" s="306">
        <f t="shared" ca="1" si="385"/>
        <v>-0.41142360143079021</v>
      </c>
      <c r="E848" s="307">
        <f t="shared" ca="1" si="386"/>
        <v>-1.793287155060673</v>
      </c>
      <c r="F848" s="304">
        <f t="shared" ca="1" si="387"/>
        <v>1.8398772242516304</v>
      </c>
      <c r="G848" s="306">
        <f t="shared" ca="1" si="388"/>
        <v>6.8462988310935771</v>
      </c>
      <c r="H848" s="307">
        <f t="shared" ca="1" si="389"/>
        <v>-133.40317666561214</v>
      </c>
      <c r="I848" s="304">
        <f t="shared" ca="1" si="390"/>
        <v>133.57873839859829</v>
      </c>
      <c r="J848" s="306">
        <f t="shared" ca="1" si="391"/>
        <v>539.267207314762</v>
      </c>
      <c r="K848" s="307">
        <f t="shared" ca="1" si="392"/>
        <v>-10.580471877359209</v>
      </c>
      <c r="L848" s="304">
        <f t="shared" ca="1" si="377"/>
        <v>539.37099224022984</v>
      </c>
      <c r="M848" s="306">
        <f t="shared" ca="1" si="393"/>
        <v>-1.5195209528790568</v>
      </c>
      <c r="N848" s="304">
        <f t="shared" ca="1" si="394"/>
        <v>-87.062137481667193</v>
      </c>
      <c r="P848" s="310">
        <f t="shared" ca="1" si="395"/>
        <v>23</v>
      </c>
      <c r="Q848" s="304">
        <f t="shared" ca="1" si="396"/>
        <v>0</v>
      </c>
      <c r="R848" s="306">
        <f t="shared" ca="1" si="397"/>
        <v>0</v>
      </c>
      <c r="S848" s="307">
        <f t="shared" ca="1" si="398"/>
        <v>6.8519999999999914</v>
      </c>
      <c r="T848" s="304">
        <f t="shared" ca="1" si="378"/>
        <v>67.218119999999914</v>
      </c>
      <c r="U848" s="311">
        <f t="shared" ca="1" si="379"/>
        <v>0</v>
      </c>
      <c r="V848" s="306">
        <f t="shared" ca="1" si="380"/>
        <v>1.226296793839514</v>
      </c>
      <c r="W848" s="304">
        <f t="shared" ca="1" si="381"/>
        <v>55.003026460983911</v>
      </c>
      <c r="Y848" s="314" t="str">
        <f t="shared" ca="1" si="399"/>
        <v/>
      </c>
      <c r="Z848" s="315" t="str">
        <f t="shared" ca="1" si="400"/>
        <v/>
      </c>
      <c r="AA848" s="316" t="str">
        <f t="shared" ca="1" si="401"/>
        <v/>
      </c>
      <c r="AC848" s="310" t="e">
        <f t="shared" ca="1" si="402"/>
        <v>#N/A</v>
      </c>
      <c r="AD848" s="323" t="e">
        <f t="shared" ca="1" si="403"/>
        <v>#N/A</v>
      </c>
      <c r="AE848" s="324" t="e">
        <f t="shared" ca="1" si="382"/>
        <v>#N/A</v>
      </c>
      <c r="AG848" s="306">
        <f t="shared" ca="1" si="404"/>
        <v>1.7698434031580614</v>
      </c>
      <c r="AH848" s="304">
        <f t="shared" ca="1" si="405"/>
        <v>-8.0272631835532522</v>
      </c>
    </row>
    <row r="849" spans="1:34" x14ac:dyDescent="0.2">
      <c r="A849" s="347">
        <f t="shared" ca="1" si="383"/>
        <v>1E-4</v>
      </c>
      <c r="B849" s="304">
        <f t="shared" ca="1" si="384"/>
        <v>39.409100000000549</v>
      </c>
      <c r="D849" s="306">
        <f t="shared" ca="1" si="385"/>
        <v>-0.41142222298433667</v>
      </c>
      <c r="E849" s="307">
        <f t="shared" ca="1" si="386"/>
        <v>-1.7932550621849614</v>
      </c>
      <c r="F849" s="304">
        <f t="shared" ca="1" si="387"/>
        <v>1.8398456358122446</v>
      </c>
      <c r="G849" s="306">
        <f t="shared" ca="1" si="388"/>
        <v>6.8462576888712787</v>
      </c>
      <c r="H849" s="307">
        <f t="shared" ca="1" si="389"/>
        <v>-133.40335599111836</v>
      </c>
      <c r="I849" s="304">
        <f t="shared" ca="1" si="390"/>
        <v>133.578915379769</v>
      </c>
      <c r="J849" s="306">
        <f t="shared" ca="1" si="391"/>
        <v>539.267207314762</v>
      </c>
      <c r="K849" s="307">
        <f t="shared" ca="1" si="392"/>
        <v>-10.593812203992044</v>
      </c>
      <c r="L849" s="304">
        <f t="shared" ca="1" si="377"/>
        <v>539.37125409320424</v>
      </c>
      <c r="M849" s="306">
        <f t="shared" ca="1" si="393"/>
        <v>-1.5195213292790515</v>
      </c>
      <c r="N849" s="304">
        <f t="shared" ca="1" si="394"/>
        <v>-87.062159047798289</v>
      </c>
      <c r="P849" s="310">
        <f t="shared" ca="1" si="395"/>
        <v>23</v>
      </c>
      <c r="Q849" s="304">
        <f t="shared" ca="1" si="396"/>
        <v>0</v>
      </c>
      <c r="R849" s="306">
        <f t="shared" ca="1" si="397"/>
        <v>0</v>
      </c>
      <c r="S849" s="307">
        <f t="shared" ca="1" si="398"/>
        <v>6.8519999999999914</v>
      </c>
      <c r="T849" s="304">
        <f t="shared" ca="1" si="378"/>
        <v>67.218119999999914</v>
      </c>
      <c r="U849" s="311">
        <f t="shared" ca="1" si="379"/>
        <v>0</v>
      </c>
      <c r="V849" s="306">
        <f t="shared" ca="1" si="380"/>
        <v>1.2262984297610413</v>
      </c>
      <c r="W849" s="304">
        <f t="shared" ca="1" si="381"/>
        <v>55.003245586421485</v>
      </c>
      <c r="Y849" s="314" t="str">
        <f t="shared" ca="1" si="399"/>
        <v/>
      </c>
      <c r="Z849" s="315" t="str">
        <f t="shared" ca="1" si="400"/>
        <v/>
      </c>
      <c r="AA849" s="316" t="str">
        <f t="shared" ca="1" si="401"/>
        <v/>
      </c>
      <c r="AC849" s="310" t="e">
        <f t="shared" ca="1" si="402"/>
        <v>#N/A</v>
      </c>
      <c r="AD849" s="323" t="e">
        <f t="shared" ca="1" si="403"/>
        <v>#N/A</v>
      </c>
      <c r="AE849" s="324" t="e">
        <f t="shared" ca="1" si="382"/>
        <v>#N/A</v>
      </c>
      <c r="AG849" s="306">
        <f t="shared" ca="1" si="404"/>
        <v>1.7698116123646574</v>
      </c>
      <c r="AH849" s="304">
        <f t="shared" ca="1" si="405"/>
        <v>-8.0272951635995309</v>
      </c>
    </row>
    <row r="850" spans="1:34" x14ac:dyDescent="0.2">
      <c r="A850" s="347">
        <f t="shared" ca="1" si="383"/>
        <v>1E-4</v>
      </c>
      <c r="B850" s="304">
        <f t="shared" ca="1" si="384"/>
        <v>39.409200000000553</v>
      </c>
      <c r="D850" s="306">
        <f t="shared" ca="1" si="385"/>
        <v>-0.41142084452615374</v>
      </c>
      <c r="E850" s="307">
        <f t="shared" ca="1" si="386"/>
        <v>-1.7932229695786077</v>
      </c>
      <c r="F850" s="304">
        <f t="shared" ca="1" si="387"/>
        <v>1.8398140476512657</v>
      </c>
      <c r="G850" s="306">
        <f t="shared" ca="1" si="388"/>
        <v>6.8462165467868257</v>
      </c>
      <c r="H850" s="307">
        <f t="shared" ca="1" si="389"/>
        <v>-133.40353531341532</v>
      </c>
      <c r="I850" s="304">
        <f t="shared" ca="1" si="390"/>
        <v>133.57909235776063</v>
      </c>
      <c r="J850" s="306">
        <f t="shared" ca="1" si="391"/>
        <v>539.267207314762</v>
      </c>
      <c r="K850" s="307">
        <f t="shared" ca="1" si="392"/>
        <v>-10.607152548557272</v>
      </c>
      <c r="L850" s="304">
        <f t="shared" ca="1" si="377"/>
        <v>539.37151627635183</v>
      </c>
      <c r="M850" s="306">
        <f t="shared" ca="1" si="393"/>
        <v>-1.5195217056757868</v>
      </c>
      <c r="N850" s="304">
        <f t="shared" ca="1" si="394"/>
        <v>-87.062180613742655</v>
      </c>
      <c r="P850" s="310">
        <f t="shared" ca="1" si="395"/>
        <v>23</v>
      </c>
      <c r="Q850" s="304">
        <f t="shared" ca="1" si="396"/>
        <v>0</v>
      </c>
      <c r="R850" s="306">
        <f t="shared" ca="1" si="397"/>
        <v>0</v>
      </c>
      <c r="S850" s="307">
        <f t="shared" ca="1" si="398"/>
        <v>6.8519999999999914</v>
      </c>
      <c r="T850" s="304">
        <f t="shared" ca="1" si="378"/>
        <v>67.218119999999914</v>
      </c>
      <c r="U850" s="311">
        <f t="shared" ca="1" si="379"/>
        <v>0</v>
      </c>
      <c r="V850" s="306">
        <f t="shared" ca="1" si="380"/>
        <v>1.2263000656869516</v>
      </c>
      <c r="W850" s="304">
        <f t="shared" ca="1" si="381"/>
        <v>55.003464710019557</v>
      </c>
      <c r="Y850" s="314" t="str">
        <f t="shared" ca="1" si="399"/>
        <v/>
      </c>
      <c r="Z850" s="315" t="str">
        <f t="shared" ca="1" si="400"/>
        <v/>
      </c>
      <c r="AA850" s="316" t="str">
        <f t="shared" ca="1" si="401"/>
        <v/>
      </c>
      <c r="AC850" s="310" t="e">
        <f t="shared" ca="1" si="402"/>
        <v>#N/A</v>
      </c>
      <c r="AD850" s="323" t="e">
        <f t="shared" ca="1" si="403"/>
        <v>#N/A</v>
      </c>
      <c r="AE850" s="324" t="e">
        <f t="shared" ca="1" si="382"/>
        <v>#N/A</v>
      </c>
      <c r="AG850" s="306">
        <f t="shared" ca="1" si="404"/>
        <v>1.7697798218366927</v>
      </c>
      <c r="AH850" s="304">
        <f t="shared" ca="1" si="405"/>
        <v>-8.0273271433773434</v>
      </c>
    </row>
    <row r="851" spans="1:34" x14ac:dyDescent="0.2">
      <c r="A851" s="347">
        <f t="shared" ca="1" si="383"/>
        <v>1E-4</v>
      </c>
      <c r="B851" s="304">
        <f t="shared" ca="1" si="384"/>
        <v>39.409300000000556</v>
      </c>
      <c r="D851" s="306">
        <f t="shared" ca="1" si="385"/>
        <v>-0.41141946605624052</v>
      </c>
      <c r="E851" s="307">
        <f t="shared" ca="1" si="386"/>
        <v>-1.7931908772416065</v>
      </c>
      <c r="F851" s="304">
        <f t="shared" ca="1" si="387"/>
        <v>1.839782459768688</v>
      </c>
      <c r="G851" s="306">
        <f t="shared" ca="1" si="388"/>
        <v>6.8461754048402197</v>
      </c>
      <c r="H851" s="307">
        <f t="shared" ca="1" si="389"/>
        <v>-133.40371463250304</v>
      </c>
      <c r="I851" s="304">
        <f t="shared" ca="1" si="390"/>
        <v>133.57926933257326</v>
      </c>
      <c r="J851" s="306">
        <f t="shared" ca="1" si="391"/>
        <v>539.267207314762</v>
      </c>
      <c r="K851" s="307">
        <f t="shared" ca="1" si="392"/>
        <v>-10.620492911054567</v>
      </c>
      <c r="L851" s="304">
        <f t="shared" ca="1" si="377"/>
        <v>539.37177878967327</v>
      </c>
      <c r="M851" s="306">
        <f t="shared" ca="1" si="393"/>
        <v>-1.519522082069263</v>
      </c>
      <c r="N851" s="304">
        <f t="shared" ca="1" si="394"/>
        <v>-87.062202179500275</v>
      </c>
      <c r="P851" s="310">
        <f t="shared" ca="1" si="395"/>
        <v>23</v>
      </c>
      <c r="Q851" s="304">
        <f t="shared" ca="1" si="396"/>
        <v>0</v>
      </c>
      <c r="R851" s="306">
        <f t="shared" ca="1" si="397"/>
        <v>0</v>
      </c>
      <c r="S851" s="307">
        <f t="shared" ca="1" si="398"/>
        <v>6.8519999999999914</v>
      </c>
      <c r="T851" s="304">
        <f t="shared" ca="1" si="378"/>
        <v>67.218119999999914</v>
      </c>
      <c r="U851" s="311">
        <f t="shared" ca="1" si="379"/>
        <v>0</v>
      </c>
      <c r="V851" s="306">
        <f t="shared" ca="1" si="380"/>
        <v>1.2263017016172442</v>
      </c>
      <c r="W851" s="304">
        <f t="shared" ca="1" si="381"/>
        <v>55.003683831778126</v>
      </c>
      <c r="Y851" s="314" t="str">
        <f t="shared" ca="1" si="399"/>
        <v/>
      </c>
      <c r="Z851" s="315" t="str">
        <f t="shared" ca="1" si="400"/>
        <v/>
      </c>
      <c r="AA851" s="316" t="str">
        <f t="shared" ca="1" si="401"/>
        <v/>
      </c>
      <c r="AC851" s="310" t="e">
        <f t="shared" ca="1" si="402"/>
        <v>#N/A</v>
      </c>
      <c r="AD851" s="323" t="e">
        <f t="shared" ca="1" si="403"/>
        <v>#N/A</v>
      </c>
      <c r="AE851" s="324" t="e">
        <f t="shared" ca="1" si="382"/>
        <v>#N/A</v>
      </c>
      <c r="AG851" s="306">
        <f t="shared" ca="1" si="404"/>
        <v>1.7697480315741618</v>
      </c>
      <c r="AH851" s="304">
        <f t="shared" ca="1" si="405"/>
        <v>-8.0273591228866934</v>
      </c>
    </row>
    <row r="852" spans="1:34" x14ac:dyDescent="0.2">
      <c r="A852" s="347">
        <f t="shared" ca="1" si="383"/>
        <v>1E-4</v>
      </c>
      <c r="B852" s="304">
        <f t="shared" ca="1" si="384"/>
        <v>39.409400000000559</v>
      </c>
      <c r="D852" s="306">
        <f t="shared" ca="1" si="385"/>
        <v>-0.4114180875745958</v>
      </c>
      <c r="E852" s="307">
        <f t="shared" ca="1" si="386"/>
        <v>-1.7931587851739543</v>
      </c>
      <c r="F852" s="304">
        <f t="shared" ca="1" si="387"/>
        <v>1.8397508721645084</v>
      </c>
      <c r="G852" s="306">
        <f t="shared" ca="1" si="388"/>
        <v>6.8461342630314626</v>
      </c>
      <c r="H852" s="307">
        <f t="shared" ca="1" si="389"/>
        <v>-133.40389394838155</v>
      </c>
      <c r="I852" s="304">
        <f t="shared" ca="1" si="390"/>
        <v>133.57944630420687</v>
      </c>
      <c r="J852" s="306">
        <f t="shared" ca="1" si="391"/>
        <v>539.267207314762</v>
      </c>
      <c r="K852" s="307">
        <f t="shared" ca="1" si="392"/>
        <v>-10.633833291483612</v>
      </c>
      <c r="L852" s="304">
        <f t="shared" ca="1" si="377"/>
        <v>539.3720416331696</v>
      </c>
      <c r="M852" s="306">
        <f t="shared" ca="1" si="393"/>
        <v>-1.51952245845948</v>
      </c>
      <c r="N852" s="304">
        <f t="shared" ca="1" si="394"/>
        <v>-87.062223745071151</v>
      </c>
      <c r="P852" s="310">
        <f t="shared" ca="1" si="395"/>
        <v>23</v>
      </c>
      <c r="Q852" s="304">
        <f t="shared" ca="1" si="396"/>
        <v>0</v>
      </c>
      <c r="R852" s="306">
        <f t="shared" ca="1" si="397"/>
        <v>0</v>
      </c>
      <c r="S852" s="307">
        <f t="shared" ca="1" si="398"/>
        <v>6.8519999999999914</v>
      </c>
      <c r="T852" s="304">
        <f t="shared" ca="1" si="378"/>
        <v>67.218119999999914</v>
      </c>
      <c r="U852" s="311">
        <f t="shared" ca="1" si="379"/>
        <v>0</v>
      </c>
      <c r="V852" s="306">
        <f t="shared" ca="1" si="380"/>
        <v>1.226303337551919</v>
      </c>
      <c r="W852" s="304">
        <f t="shared" ca="1" si="381"/>
        <v>55.003902951697157</v>
      </c>
      <c r="Y852" s="314" t="str">
        <f t="shared" ca="1" si="399"/>
        <v/>
      </c>
      <c r="Z852" s="315" t="str">
        <f t="shared" ca="1" si="400"/>
        <v/>
      </c>
      <c r="AA852" s="316" t="str">
        <f t="shared" ca="1" si="401"/>
        <v/>
      </c>
      <c r="AC852" s="310" t="e">
        <f t="shared" ca="1" si="402"/>
        <v>#N/A</v>
      </c>
      <c r="AD852" s="323" t="e">
        <f t="shared" ca="1" si="403"/>
        <v>#N/A</v>
      </c>
      <c r="AE852" s="324" t="e">
        <f t="shared" ca="1" si="382"/>
        <v>#N/A</v>
      </c>
      <c r="AG852" s="306">
        <f t="shared" ca="1" si="404"/>
        <v>1.7697162415770666</v>
      </c>
      <c r="AH852" s="304">
        <f t="shared" ca="1" si="405"/>
        <v>-8.0273911021275826</v>
      </c>
    </row>
    <row r="853" spans="1:34" x14ac:dyDescent="0.2">
      <c r="A853" s="347">
        <f t="shared" ca="1" si="383"/>
        <v>1E-4</v>
      </c>
      <c r="B853" s="304">
        <f t="shared" ca="1" si="384"/>
        <v>39.409500000000563</v>
      </c>
      <c r="D853" s="306">
        <f t="shared" ca="1" si="385"/>
        <v>-0.41141670908121986</v>
      </c>
      <c r="E853" s="307">
        <f t="shared" ca="1" si="386"/>
        <v>-1.7931266933756618</v>
      </c>
      <c r="F853" s="304">
        <f t="shared" ca="1" si="387"/>
        <v>1.8397192848387376</v>
      </c>
      <c r="G853" s="306">
        <f t="shared" ca="1" si="388"/>
        <v>6.8460931213605543</v>
      </c>
      <c r="H853" s="307">
        <f t="shared" ca="1" si="389"/>
        <v>-133.40407326105088</v>
      </c>
      <c r="I853" s="304">
        <f t="shared" ca="1" si="390"/>
        <v>133.57962327266151</v>
      </c>
      <c r="J853" s="306">
        <f t="shared" ca="1" si="391"/>
        <v>539.267207314762</v>
      </c>
      <c r="K853" s="307">
        <f t="shared" ca="1" si="392"/>
        <v>-10.647173689844083</v>
      </c>
      <c r="L853" s="304">
        <f t="shared" ca="1" si="377"/>
        <v>539.37230480684138</v>
      </c>
      <c r="M853" s="306">
        <f t="shared" ca="1" si="393"/>
        <v>-1.5195228348464376</v>
      </c>
      <c r="N853" s="304">
        <f t="shared" ca="1" si="394"/>
        <v>-87.062245310455296</v>
      </c>
      <c r="P853" s="310">
        <f t="shared" ca="1" si="395"/>
        <v>23</v>
      </c>
      <c r="Q853" s="304">
        <f t="shared" ca="1" si="396"/>
        <v>0</v>
      </c>
      <c r="R853" s="306">
        <f t="shared" ca="1" si="397"/>
        <v>0</v>
      </c>
      <c r="S853" s="307">
        <f t="shared" ca="1" si="398"/>
        <v>6.8519999999999914</v>
      </c>
      <c r="T853" s="304">
        <f t="shared" ca="1" si="378"/>
        <v>67.218119999999914</v>
      </c>
      <c r="U853" s="311">
        <f t="shared" ca="1" si="379"/>
        <v>0</v>
      </c>
      <c r="V853" s="306">
        <f t="shared" ca="1" si="380"/>
        <v>1.2263049734909772</v>
      </c>
      <c r="W853" s="304">
        <f t="shared" ca="1" si="381"/>
        <v>55.004122069776727</v>
      </c>
      <c r="Y853" s="314" t="str">
        <f t="shared" ca="1" si="399"/>
        <v/>
      </c>
      <c r="Z853" s="315" t="str">
        <f t="shared" ca="1" si="400"/>
        <v/>
      </c>
      <c r="AA853" s="316" t="str">
        <f t="shared" ca="1" si="401"/>
        <v/>
      </c>
      <c r="AC853" s="310" t="e">
        <f t="shared" ca="1" si="402"/>
        <v>#N/A</v>
      </c>
      <c r="AD853" s="323" t="e">
        <f t="shared" ca="1" si="403"/>
        <v>#N/A</v>
      </c>
      <c r="AE853" s="324" t="e">
        <f t="shared" ca="1" si="382"/>
        <v>#N/A</v>
      </c>
      <c r="AG853" s="306">
        <f t="shared" ca="1" si="404"/>
        <v>1.7696844518454142</v>
      </c>
      <c r="AH853" s="304">
        <f t="shared" ca="1" si="405"/>
        <v>-8.0274230811000038</v>
      </c>
    </row>
    <row r="854" spans="1:34" x14ac:dyDescent="0.2">
      <c r="A854" s="347">
        <f t="shared" ca="1" si="383"/>
        <v>1E-4</v>
      </c>
      <c r="B854" s="304">
        <f t="shared" ca="1" si="384"/>
        <v>39.409600000000566</v>
      </c>
      <c r="D854" s="306">
        <f t="shared" ca="1" si="385"/>
        <v>-0.41141533057611579</v>
      </c>
      <c r="E854" s="307">
        <f t="shared" ca="1" si="386"/>
        <v>-1.7930946018467147</v>
      </c>
      <c r="F854" s="304">
        <f t="shared" ca="1" si="387"/>
        <v>1.8396876977913623</v>
      </c>
      <c r="G854" s="306">
        <f t="shared" ca="1" si="388"/>
        <v>6.8460519798274966</v>
      </c>
      <c r="H854" s="307">
        <f t="shared" ca="1" si="389"/>
        <v>-133.40425257051106</v>
      </c>
      <c r="I854" s="304">
        <f t="shared" ca="1" si="390"/>
        <v>133.57980023793721</v>
      </c>
      <c r="J854" s="306">
        <f t="shared" ca="1" si="391"/>
        <v>539.267207314762</v>
      </c>
      <c r="K854" s="307">
        <f t="shared" ca="1" si="392"/>
        <v>-10.660514106135661</v>
      </c>
      <c r="L854" s="304">
        <f t="shared" ca="1" si="377"/>
        <v>539.37256831068976</v>
      </c>
      <c r="M854" s="306">
        <f t="shared" ca="1" si="393"/>
        <v>-1.5195232112301362</v>
      </c>
      <c r="N854" s="304">
        <f t="shared" ca="1" si="394"/>
        <v>-87.062266875652696</v>
      </c>
      <c r="P854" s="310">
        <f t="shared" ca="1" si="395"/>
        <v>23</v>
      </c>
      <c r="Q854" s="304">
        <f t="shared" ca="1" si="396"/>
        <v>0</v>
      </c>
      <c r="R854" s="306">
        <f t="shared" ca="1" si="397"/>
        <v>0</v>
      </c>
      <c r="S854" s="307">
        <f t="shared" ca="1" si="398"/>
        <v>6.8519999999999914</v>
      </c>
      <c r="T854" s="304">
        <f t="shared" ca="1" si="378"/>
        <v>67.218119999999914</v>
      </c>
      <c r="U854" s="311">
        <f t="shared" ca="1" si="379"/>
        <v>0</v>
      </c>
      <c r="V854" s="306">
        <f t="shared" ca="1" si="380"/>
        <v>1.2263066094344173</v>
      </c>
      <c r="W854" s="304">
        <f t="shared" ca="1" si="381"/>
        <v>55.004341186016774</v>
      </c>
      <c r="Y854" s="314" t="str">
        <f t="shared" ca="1" si="399"/>
        <v/>
      </c>
      <c r="Z854" s="315" t="str">
        <f t="shared" ca="1" si="400"/>
        <v/>
      </c>
      <c r="AA854" s="316" t="str">
        <f t="shared" ca="1" si="401"/>
        <v/>
      </c>
      <c r="AC854" s="310" t="e">
        <f t="shared" ca="1" si="402"/>
        <v>#N/A</v>
      </c>
      <c r="AD854" s="323" t="e">
        <f t="shared" ca="1" si="403"/>
        <v>#N/A</v>
      </c>
      <c r="AE854" s="324" t="e">
        <f t="shared" ca="1" si="382"/>
        <v>#N/A</v>
      </c>
      <c r="AG854" s="306">
        <f t="shared" ca="1" si="404"/>
        <v>1.7696526623791886</v>
      </c>
      <c r="AH854" s="304">
        <f t="shared" ca="1" si="405"/>
        <v>-8.0274550598039696</v>
      </c>
    </row>
    <row r="855" spans="1:34" x14ac:dyDescent="0.2">
      <c r="A855" s="347">
        <f t="shared" ca="1" si="383"/>
        <v>1E-4</v>
      </c>
      <c r="B855" s="304">
        <f t="shared" ca="1" si="384"/>
        <v>39.409700000000569</v>
      </c>
      <c r="D855" s="306">
        <f t="shared" ca="1" si="385"/>
        <v>-0.41141395205928</v>
      </c>
      <c r="E855" s="307">
        <f t="shared" ca="1" si="386"/>
        <v>-1.7930625105871236</v>
      </c>
      <c r="F855" s="304">
        <f t="shared" ca="1" si="387"/>
        <v>1.8396561110223928</v>
      </c>
      <c r="G855" s="306">
        <f t="shared" ca="1" si="388"/>
        <v>6.8460108384322904</v>
      </c>
      <c r="H855" s="307">
        <f t="shared" ca="1" si="389"/>
        <v>-133.40443187676212</v>
      </c>
      <c r="I855" s="304">
        <f t="shared" ca="1" si="390"/>
        <v>133.57997720003399</v>
      </c>
      <c r="J855" s="306">
        <f t="shared" ca="1" si="391"/>
        <v>539.267207314762</v>
      </c>
      <c r="K855" s="307">
        <f t="shared" ca="1" si="392"/>
        <v>-10.673854540358025</v>
      </c>
      <c r="L855" s="304">
        <f t="shared" ca="1" si="377"/>
        <v>539.37283214471529</v>
      </c>
      <c r="M855" s="306">
        <f t="shared" ca="1" si="393"/>
        <v>-1.5195235876105757</v>
      </c>
      <c r="N855" s="304">
        <f t="shared" ca="1" si="394"/>
        <v>-87.06228844066338</v>
      </c>
      <c r="P855" s="310">
        <f t="shared" ca="1" si="395"/>
        <v>23</v>
      </c>
      <c r="Q855" s="304">
        <f t="shared" ca="1" si="396"/>
        <v>0</v>
      </c>
      <c r="R855" s="306">
        <f t="shared" ca="1" si="397"/>
        <v>0</v>
      </c>
      <c r="S855" s="307">
        <f t="shared" ca="1" si="398"/>
        <v>6.8519999999999914</v>
      </c>
      <c r="T855" s="304">
        <f t="shared" ca="1" si="378"/>
        <v>67.218119999999914</v>
      </c>
      <c r="U855" s="311">
        <f t="shared" ca="1" si="379"/>
        <v>0</v>
      </c>
      <c r="V855" s="306">
        <f t="shared" ca="1" si="380"/>
        <v>1.2263082453822394</v>
      </c>
      <c r="W855" s="304">
        <f t="shared" ca="1" si="381"/>
        <v>55.00456030041731</v>
      </c>
      <c r="Y855" s="314" t="str">
        <f t="shared" ca="1" si="399"/>
        <v/>
      </c>
      <c r="Z855" s="315" t="str">
        <f t="shared" ca="1" si="400"/>
        <v/>
      </c>
      <c r="AA855" s="316" t="str">
        <f t="shared" ca="1" si="401"/>
        <v/>
      </c>
      <c r="AC855" s="310" t="e">
        <f t="shared" ca="1" si="402"/>
        <v>#N/A</v>
      </c>
      <c r="AD855" s="323" t="e">
        <f t="shared" ca="1" si="403"/>
        <v>#N/A</v>
      </c>
      <c r="AE855" s="324" t="e">
        <f t="shared" ca="1" si="382"/>
        <v>#N/A</v>
      </c>
      <c r="AG855" s="306">
        <f t="shared" ca="1" si="404"/>
        <v>1.7696208731784022</v>
      </c>
      <c r="AH855" s="304">
        <f t="shared" ca="1" si="405"/>
        <v>-8.0274870382394692</v>
      </c>
    </row>
    <row r="856" spans="1:34" x14ac:dyDescent="0.2">
      <c r="A856" s="347">
        <f t="shared" ca="1" si="383"/>
        <v>1E-4</v>
      </c>
      <c r="B856" s="304">
        <f t="shared" ca="1" si="384"/>
        <v>39.409800000000573</v>
      </c>
      <c r="D856" s="306">
        <f t="shared" ca="1" si="385"/>
        <v>-0.41141257353071514</v>
      </c>
      <c r="E856" s="307">
        <f t="shared" ca="1" si="386"/>
        <v>-1.7930304195968851</v>
      </c>
      <c r="F856" s="304">
        <f t="shared" ca="1" si="387"/>
        <v>1.8396245245318263</v>
      </c>
      <c r="G856" s="306">
        <f t="shared" ca="1" si="388"/>
        <v>6.8459696971749375</v>
      </c>
      <c r="H856" s="307">
        <f t="shared" ca="1" si="389"/>
        <v>-133.40461117980408</v>
      </c>
      <c r="I856" s="304">
        <f t="shared" ca="1" si="390"/>
        <v>133.58015415895187</v>
      </c>
      <c r="J856" s="306">
        <f t="shared" ca="1" si="391"/>
        <v>539.267207314762</v>
      </c>
      <c r="K856" s="307">
        <f t="shared" ca="1" si="392"/>
        <v>-10.687194992510854</v>
      </c>
      <c r="L856" s="304">
        <f t="shared" ca="1" si="377"/>
        <v>539.373096308919</v>
      </c>
      <c r="M856" s="306">
        <f t="shared" ca="1" si="393"/>
        <v>-1.519523963987756</v>
      </c>
      <c r="N856" s="304">
        <f t="shared" ca="1" si="394"/>
        <v>-87.062310005487319</v>
      </c>
      <c r="P856" s="310">
        <f t="shared" ca="1" si="395"/>
        <v>23</v>
      </c>
      <c r="Q856" s="304">
        <f t="shared" ca="1" si="396"/>
        <v>0</v>
      </c>
      <c r="R856" s="306">
        <f t="shared" ca="1" si="397"/>
        <v>0</v>
      </c>
      <c r="S856" s="307">
        <f t="shared" ca="1" si="398"/>
        <v>6.8519999999999914</v>
      </c>
      <c r="T856" s="304">
        <f t="shared" ca="1" si="378"/>
        <v>67.218119999999914</v>
      </c>
      <c r="U856" s="311">
        <f t="shared" ca="1" si="379"/>
        <v>0</v>
      </c>
      <c r="V856" s="306">
        <f t="shared" ca="1" si="380"/>
        <v>1.2263098813344446</v>
      </c>
      <c r="W856" s="304">
        <f t="shared" ca="1" si="381"/>
        <v>55.004779412978365</v>
      </c>
      <c r="Y856" s="314" t="str">
        <f t="shared" ca="1" si="399"/>
        <v/>
      </c>
      <c r="Z856" s="315" t="str">
        <f t="shared" ca="1" si="400"/>
        <v/>
      </c>
      <c r="AA856" s="316" t="str">
        <f t="shared" ca="1" si="401"/>
        <v/>
      </c>
      <c r="AC856" s="310" t="e">
        <f t="shared" ca="1" si="402"/>
        <v>#N/A</v>
      </c>
      <c r="AD856" s="323" t="e">
        <f t="shared" ca="1" si="403"/>
        <v>#N/A</v>
      </c>
      <c r="AE856" s="324" t="e">
        <f t="shared" ca="1" si="382"/>
        <v>#N/A</v>
      </c>
      <c r="AG856" s="306">
        <f t="shared" ca="1" si="404"/>
        <v>1.7695890842430533</v>
      </c>
      <c r="AH856" s="304">
        <f t="shared" ca="1" si="405"/>
        <v>-8.0275190164065062</v>
      </c>
    </row>
    <row r="857" spans="1:34" x14ac:dyDescent="0.2">
      <c r="A857" s="347">
        <f t="shared" ca="1" si="383"/>
        <v>1E-4</v>
      </c>
      <c r="B857" s="304">
        <f t="shared" ca="1" si="384"/>
        <v>39.409900000000576</v>
      </c>
      <c r="D857" s="306">
        <f t="shared" ca="1" si="385"/>
        <v>-0.41141119499042206</v>
      </c>
      <c r="E857" s="307">
        <f t="shared" ca="1" si="386"/>
        <v>-1.7929983288759939</v>
      </c>
      <c r="F857" s="304">
        <f t="shared" ca="1" si="387"/>
        <v>1.8395929383196583</v>
      </c>
      <c r="G857" s="306">
        <f t="shared" ca="1" si="388"/>
        <v>6.8459285560554388</v>
      </c>
      <c r="H857" s="307">
        <f t="shared" ca="1" si="389"/>
        <v>-133.40479047963697</v>
      </c>
      <c r="I857" s="304">
        <f t="shared" ca="1" si="390"/>
        <v>133.58033111469089</v>
      </c>
      <c r="J857" s="306">
        <f t="shared" ca="1" si="391"/>
        <v>539.267207314762</v>
      </c>
      <c r="K857" s="307">
        <f t="shared" ca="1" si="392"/>
        <v>-10.700535462593827</v>
      </c>
      <c r="L857" s="304">
        <f t="shared" ca="1" si="377"/>
        <v>539.37336080330181</v>
      </c>
      <c r="M857" s="306">
        <f t="shared" ca="1" si="393"/>
        <v>-1.5195243403616774</v>
      </c>
      <c r="N857" s="304">
        <f t="shared" ca="1" si="394"/>
        <v>-87.062331570124528</v>
      </c>
      <c r="P857" s="310">
        <f t="shared" ca="1" si="395"/>
        <v>23</v>
      </c>
      <c r="Q857" s="304">
        <f t="shared" ca="1" si="396"/>
        <v>0</v>
      </c>
      <c r="R857" s="306">
        <f t="shared" ca="1" si="397"/>
        <v>0</v>
      </c>
      <c r="S857" s="307">
        <f t="shared" ca="1" si="398"/>
        <v>6.8519999999999914</v>
      </c>
      <c r="T857" s="304">
        <f t="shared" ca="1" si="378"/>
        <v>67.218119999999914</v>
      </c>
      <c r="U857" s="311">
        <f t="shared" ca="1" si="379"/>
        <v>0</v>
      </c>
      <c r="V857" s="306">
        <f t="shared" ca="1" si="380"/>
        <v>1.2263115172910322</v>
      </c>
      <c r="W857" s="304">
        <f t="shared" ca="1" si="381"/>
        <v>55.004998523699932</v>
      </c>
      <c r="Y857" s="314" t="str">
        <f t="shared" ca="1" si="399"/>
        <v/>
      </c>
      <c r="Z857" s="315" t="str">
        <f t="shared" ca="1" si="400"/>
        <v/>
      </c>
      <c r="AA857" s="316" t="str">
        <f t="shared" ca="1" si="401"/>
        <v/>
      </c>
      <c r="AC857" s="310" t="e">
        <f t="shared" ca="1" si="402"/>
        <v>#N/A</v>
      </c>
      <c r="AD857" s="323" t="e">
        <f t="shared" ca="1" si="403"/>
        <v>#N/A</v>
      </c>
      <c r="AE857" s="324" t="e">
        <f t="shared" ca="1" si="382"/>
        <v>#N/A</v>
      </c>
      <c r="AG857" s="306">
        <f t="shared" ca="1" si="404"/>
        <v>1.7695572955731365</v>
      </c>
      <c r="AH857" s="304">
        <f t="shared" ca="1" si="405"/>
        <v>-8.0275509943050842</v>
      </c>
    </row>
    <row r="858" spans="1:34" x14ac:dyDescent="0.2">
      <c r="A858" s="347">
        <f t="shared" ca="1" si="383"/>
        <v>1E-4</v>
      </c>
      <c r="B858" s="304">
        <f t="shared" ca="1" si="384"/>
        <v>39.410000000000579</v>
      </c>
      <c r="D858" s="306">
        <f t="shared" ca="1" si="385"/>
        <v>-0.41140981643839936</v>
      </c>
      <c r="E858" s="307">
        <f t="shared" ca="1" si="386"/>
        <v>-1.7929662384244569</v>
      </c>
      <c r="F858" s="304">
        <f t="shared" ca="1" si="387"/>
        <v>1.8395613523858951</v>
      </c>
      <c r="G858" s="306">
        <f t="shared" ca="1" si="388"/>
        <v>6.8458874150737952</v>
      </c>
      <c r="H858" s="307">
        <f t="shared" ca="1" si="389"/>
        <v>-133.40496977626083</v>
      </c>
      <c r="I858" s="304">
        <f t="shared" ca="1" si="390"/>
        <v>133.58050806725106</v>
      </c>
      <c r="J858" s="306">
        <f t="shared" ca="1" si="391"/>
        <v>539.267207314762</v>
      </c>
      <c r="K858" s="307">
        <f t="shared" ca="1" si="392"/>
        <v>-10.713875950606621</v>
      </c>
      <c r="L858" s="304">
        <f t="shared" ca="1" si="377"/>
        <v>539.37362562786427</v>
      </c>
      <c r="M858" s="306">
        <f t="shared" ca="1" si="393"/>
        <v>-1.5195247167323398</v>
      </c>
      <c r="N858" s="304">
        <f t="shared" ca="1" si="394"/>
        <v>-87.062353134575019</v>
      </c>
      <c r="P858" s="310">
        <f t="shared" ca="1" si="395"/>
        <v>23</v>
      </c>
      <c r="Q858" s="304">
        <f t="shared" ca="1" si="396"/>
        <v>0</v>
      </c>
      <c r="R858" s="306">
        <f t="shared" ca="1" si="397"/>
        <v>0</v>
      </c>
      <c r="S858" s="307">
        <f t="shared" ca="1" si="398"/>
        <v>6.8519999999999914</v>
      </c>
      <c r="T858" s="304">
        <f t="shared" ca="1" si="378"/>
        <v>67.218119999999914</v>
      </c>
      <c r="U858" s="311">
        <f t="shared" ca="1" si="379"/>
        <v>0</v>
      </c>
      <c r="V858" s="306">
        <f t="shared" ca="1" si="380"/>
        <v>1.2263131532520015</v>
      </c>
      <c r="W858" s="304">
        <f t="shared" ca="1" si="381"/>
        <v>55.005217632581967</v>
      </c>
      <c r="Y858" s="314" t="str">
        <f t="shared" ca="1" si="399"/>
        <v/>
      </c>
      <c r="Z858" s="315" t="str">
        <f t="shared" ca="1" si="400"/>
        <v/>
      </c>
      <c r="AA858" s="316" t="str">
        <f t="shared" ca="1" si="401"/>
        <v/>
      </c>
      <c r="AC858" s="310" t="e">
        <f t="shared" ca="1" si="402"/>
        <v>#N/A</v>
      </c>
      <c r="AD858" s="323" t="e">
        <f t="shared" ca="1" si="403"/>
        <v>#N/A</v>
      </c>
      <c r="AE858" s="324" t="e">
        <f t="shared" ca="1" si="382"/>
        <v>#N/A</v>
      </c>
      <c r="AG858" s="306">
        <f t="shared" ca="1" si="404"/>
        <v>1.7695255071686553</v>
      </c>
      <c r="AH858" s="304">
        <f t="shared" ca="1" si="405"/>
        <v>-8.0275829719352014</v>
      </c>
    </row>
    <row r="859" spans="1:34" x14ac:dyDescent="0.2">
      <c r="A859" s="347">
        <f t="shared" ca="1" si="383"/>
        <v>1E-4</v>
      </c>
      <c r="B859" s="304">
        <f t="shared" ca="1" si="384"/>
        <v>39.410100000000583</v>
      </c>
      <c r="D859" s="306">
        <f t="shared" ca="1" si="385"/>
        <v>-0.41140843787464754</v>
      </c>
      <c r="E859" s="307">
        <f t="shared" ca="1" si="386"/>
        <v>-1.7929341482422743</v>
      </c>
      <c r="F859" s="304">
        <f t="shared" ca="1" si="387"/>
        <v>1.8395297667305379</v>
      </c>
      <c r="G859" s="306">
        <f t="shared" ca="1" si="388"/>
        <v>6.8458462742300075</v>
      </c>
      <c r="H859" s="307">
        <f t="shared" ca="1" si="389"/>
        <v>-133.40514906967564</v>
      </c>
      <c r="I859" s="304">
        <f t="shared" ca="1" si="390"/>
        <v>133.58068501663243</v>
      </c>
      <c r="J859" s="306">
        <f t="shared" ca="1" si="391"/>
        <v>539.267207314762</v>
      </c>
      <c r="K859" s="307">
        <f t="shared" ca="1" si="392"/>
        <v>-10.727216456548918</v>
      </c>
      <c r="L859" s="304">
        <f t="shared" ca="1" si="377"/>
        <v>539.37389078260742</v>
      </c>
      <c r="M859" s="306">
        <f t="shared" ca="1" si="393"/>
        <v>-1.519525093099743</v>
      </c>
      <c r="N859" s="304">
        <f t="shared" ca="1" si="394"/>
        <v>-87.062374698838767</v>
      </c>
      <c r="P859" s="310">
        <f t="shared" ca="1" si="395"/>
        <v>23</v>
      </c>
      <c r="Q859" s="304">
        <f t="shared" ca="1" si="396"/>
        <v>0</v>
      </c>
      <c r="R859" s="306">
        <f t="shared" ca="1" si="397"/>
        <v>0</v>
      </c>
      <c r="S859" s="307">
        <f t="shared" ca="1" si="398"/>
        <v>6.8519999999999914</v>
      </c>
      <c r="T859" s="304">
        <f t="shared" ca="1" si="378"/>
        <v>67.218119999999914</v>
      </c>
      <c r="U859" s="311">
        <f t="shared" ca="1" si="379"/>
        <v>0</v>
      </c>
      <c r="V859" s="306">
        <f t="shared" ca="1" si="380"/>
        <v>1.2263147892173536</v>
      </c>
      <c r="W859" s="304">
        <f t="shared" ca="1" si="381"/>
        <v>55.00543673962455</v>
      </c>
      <c r="Y859" s="314" t="str">
        <f t="shared" ca="1" si="399"/>
        <v/>
      </c>
      <c r="Z859" s="315" t="str">
        <f t="shared" ca="1" si="400"/>
        <v/>
      </c>
      <c r="AA859" s="316" t="str">
        <f t="shared" ca="1" si="401"/>
        <v/>
      </c>
      <c r="AC859" s="310" t="e">
        <f t="shared" ca="1" si="402"/>
        <v>#N/A</v>
      </c>
      <c r="AD859" s="323" t="e">
        <f t="shared" ca="1" si="403"/>
        <v>#N/A</v>
      </c>
      <c r="AE859" s="324" t="e">
        <f t="shared" ca="1" si="382"/>
        <v>#N/A</v>
      </c>
      <c r="AG859" s="306">
        <f t="shared" ca="1" si="404"/>
        <v>1.7694937190296116</v>
      </c>
      <c r="AH859" s="304">
        <f t="shared" ca="1" si="405"/>
        <v>-8.0276149492968525</v>
      </c>
    </row>
    <row r="860" spans="1:34" x14ac:dyDescent="0.2">
      <c r="A860" s="347">
        <f t="shared" ca="1" si="383"/>
        <v>1E-4</v>
      </c>
      <c r="B860" s="304">
        <f t="shared" ca="1" si="384"/>
        <v>39.410200000000586</v>
      </c>
      <c r="D860" s="306">
        <f t="shared" ca="1" si="385"/>
        <v>-0.41140705929916949</v>
      </c>
      <c r="E860" s="307">
        <f t="shared" ca="1" si="386"/>
        <v>-1.7929020583294353</v>
      </c>
      <c r="F860" s="304">
        <f t="shared" ca="1" si="387"/>
        <v>1.8394981813535767</v>
      </c>
      <c r="G860" s="306">
        <f t="shared" ca="1" si="388"/>
        <v>6.8458051335240775</v>
      </c>
      <c r="H860" s="307">
        <f t="shared" ca="1" si="389"/>
        <v>-133.40532835988148</v>
      </c>
      <c r="I860" s="304">
        <f t="shared" ca="1" si="390"/>
        <v>133.58086196283503</v>
      </c>
      <c r="J860" s="306">
        <f t="shared" ca="1" si="391"/>
        <v>539.267207314762</v>
      </c>
      <c r="K860" s="307">
        <f t="shared" ca="1" si="392"/>
        <v>-10.740556980420395</v>
      </c>
      <c r="L860" s="304">
        <f t="shared" ca="1" si="377"/>
        <v>539.37415626753204</v>
      </c>
      <c r="M860" s="306">
        <f t="shared" ca="1" si="393"/>
        <v>-1.5195254694638876</v>
      </c>
      <c r="N860" s="304">
        <f t="shared" ca="1" si="394"/>
        <v>-87.062396262915811</v>
      </c>
      <c r="P860" s="310">
        <f t="shared" ca="1" si="395"/>
        <v>23</v>
      </c>
      <c r="Q860" s="304">
        <f t="shared" ca="1" si="396"/>
        <v>0</v>
      </c>
      <c r="R860" s="306">
        <f t="shared" ca="1" si="397"/>
        <v>0</v>
      </c>
      <c r="S860" s="307">
        <f t="shared" ca="1" si="398"/>
        <v>6.8519999999999914</v>
      </c>
      <c r="T860" s="304">
        <f t="shared" ca="1" si="378"/>
        <v>67.218119999999914</v>
      </c>
      <c r="U860" s="311">
        <f t="shared" ca="1" si="379"/>
        <v>0</v>
      </c>
      <c r="V860" s="306">
        <f t="shared" ca="1" si="380"/>
        <v>1.2263164251870882</v>
      </c>
      <c r="W860" s="304">
        <f t="shared" ca="1" si="381"/>
        <v>55.005655844827665</v>
      </c>
      <c r="Y860" s="314" t="str">
        <f t="shared" ca="1" si="399"/>
        <v/>
      </c>
      <c r="Z860" s="315" t="str">
        <f t="shared" ca="1" si="400"/>
        <v/>
      </c>
      <c r="AA860" s="316" t="str">
        <f t="shared" ca="1" si="401"/>
        <v/>
      </c>
      <c r="AC860" s="310" t="e">
        <f t="shared" ca="1" si="402"/>
        <v>#N/A</v>
      </c>
      <c r="AD860" s="323" t="e">
        <f t="shared" ca="1" si="403"/>
        <v>#N/A</v>
      </c>
      <c r="AE860" s="324" t="e">
        <f t="shared" ca="1" si="382"/>
        <v>#N/A</v>
      </c>
      <c r="AG860" s="306">
        <f t="shared" ca="1" si="404"/>
        <v>1.7694619311559947</v>
      </c>
      <c r="AH860" s="304">
        <f t="shared" ca="1" si="405"/>
        <v>-8.0276469263900498</v>
      </c>
    </row>
    <row r="861" spans="1:34" x14ac:dyDescent="0.2">
      <c r="A861" s="347">
        <f t="shared" ca="1" si="383"/>
        <v>1E-4</v>
      </c>
      <c r="B861" s="304">
        <f t="shared" ca="1" si="384"/>
        <v>39.410300000000589</v>
      </c>
      <c r="D861" s="306">
        <f t="shared" ca="1" si="385"/>
        <v>-0.4114056807119621</v>
      </c>
      <c r="E861" s="307">
        <f t="shared" ca="1" si="386"/>
        <v>-1.7928699686859453</v>
      </c>
      <c r="F861" s="304">
        <f t="shared" ca="1" si="387"/>
        <v>1.8394665962550163</v>
      </c>
      <c r="G861" s="306">
        <f t="shared" ca="1" si="388"/>
        <v>6.8457639929560061</v>
      </c>
      <c r="H861" s="307">
        <f t="shared" ca="1" si="389"/>
        <v>-133.40550764687836</v>
      </c>
      <c r="I861" s="304">
        <f t="shared" ca="1" si="390"/>
        <v>133.58103890585883</v>
      </c>
      <c r="J861" s="306">
        <f t="shared" ca="1" si="391"/>
        <v>539.267207314762</v>
      </c>
      <c r="K861" s="307">
        <f t="shared" ca="1" si="392"/>
        <v>-10.753897522220733</v>
      </c>
      <c r="L861" s="304">
        <f t="shared" ca="1" si="377"/>
        <v>539.37442208263917</v>
      </c>
      <c r="M861" s="306">
        <f t="shared" ca="1" si="393"/>
        <v>-1.5195258458247731</v>
      </c>
      <c r="N861" s="304">
        <f t="shared" ca="1" si="394"/>
        <v>-87.062417826806126</v>
      </c>
      <c r="P861" s="310">
        <f t="shared" ca="1" si="395"/>
        <v>23</v>
      </c>
      <c r="Q861" s="304">
        <f t="shared" ca="1" si="396"/>
        <v>0</v>
      </c>
      <c r="R861" s="306">
        <f t="shared" ca="1" si="397"/>
        <v>0</v>
      </c>
      <c r="S861" s="307">
        <f t="shared" ca="1" si="398"/>
        <v>6.8519999999999914</v>
      </c>
      <c r="T861" s="304">
        <f t="shared" ca="1" si="378"/>
        <v>67.218119999999914</v>
      </c>
      <c r="U861" s="311">
        <f t="shared" ca="1" si="379"/>
        <v>0</v>
      </c>
      <c r="V861" s="306">
        <f t="shared" ca="1" si="380"/>
        <v>1.2263180611612048</v>
      </c>
      <c r="W861" s="304">
        <f t="shared" ca="1" si="381"/>
        <v>55.005874948191256</v>
      </c>
      <c r="Y861" s="314" t="str">
        <f t="shared" ca="1" si="399"/>
        <v/>
      </c>
      <c r="Z861" s="315" t="str">
        <f t="shared" ca="1" si="400"/>
        <v/>
      </c>
      <c r="AA861" s="316" t="str">
        <f t="shared" ca="1" si="401"/>
        <v/>
      </c>
      <c r="AC861" s="310" t="e">
        <f t="shared" ca="1" si="402"/>
        <v>#N/A</v>
      </c>
      <c r="AD861" s="323" t="e">
        <f t="shared" ca="1" si="403"/>
        <v>#N/A</v>
      </c>
      <c r="AE861" s="324" t="e">
        <f t="shared" ca="1" si="382"/>
        <v>#N/A</v>
      </c>
      <c r="AG861" s="306">
        <f t="shared" ca="1" si="404"/>
        <v>1.7694301435478135</v>
      </c>
      <c r="AH861" s="304">
        <f t="shared" ca="1" si="405"/>
        <v>-8.0276789032147882</v>
      </c>
    </row>
    <row r="862" spans="1:34" x14ac:dyDescent="0.2">
      <c r="A862" s="347">
        <f t="shared" ca="1" si="383"/>
        <v>1E-4</v>
      </c>
      <c r="B862" s="304">
        <f t="shared" ca="1" si="384"/>
        <v>39.410400000000593</v>
      </c>
      <c r="D862" s="306">
        <f t="shared" ca="1" si="385"/>
        <v>-0.41140430211302753</v>
      </c>
      <c r="E862" s="307">
        <f t="shared" ca="1" si="386"/>
        <v>-1.7928378793118078</v>
      </c>
      <c r="F862" s="304">
        <f t="shared" ca="1" si="387"/>
        <v>1.839435011434861</v>
      </c>
      <c r="G862" s="306">
        <f t="shared" ca="1" si="388"/>
        <v>6.8457228525257952</v>
      </c>
      <c r="H862" s="307">
        <f t="shared" ca="1" si="389"/>
        <v>-133.40568693066629</v>
      </c>
      <c r="I862" s="304">
        <f t="shared" ca="1" si="390"/>
        <v>133.58121584570392</v>
      </c>
      <c r="J862" s="306">
        <f t="shared" ca="1" si="391"/>
        <v>539.267207314762</v>
      </c>
      <c r="K862" s="307">
        <f t="shared" ca="1" si="392"/>
        <v>-10.767238081949611</v>
      </c>
      <c r="L862" s="304">
        <f t="shared" ca="1" si="377"/>
        <v>539.37468822792925</v>
      </c>
      <c r="M862" s="306">
        <f t="shared" ca="1" si="393"/>
        <v>-1.5195262221824</v>
      </c>
      <c r="N862" s="304">
        <f t="shared" ca="1" si="394"/>
        <v>-87.062439390509724</v>
      </c>
      <c r="P862" s="310">
        <f t="shared" ca="1" si="395"/>
        <v>23</v>
      </c>
      <c r="Q862" s="304">
        <f t="shared" ca="1" si="396"/>
        <v>0</v>
      </c>
      <c r="R862" s="306">
        <f t="shared" ca="1" si="397"/>
        <v>0</v>
      </c>
      <c r="S862" s="307">
        <f t="shared" ca="1" si="398"/>
        <v>6.8519999999999914</v>
      </c>
      <c r="T862" s="304">
        <f t="shared" ca="1" si="378"/>
        <v>67.218119999999914</v>
      </c>
      <c r="U862" s="311">
        <f t="shared" ca="1" si="379"/>
        <v>0</v>
      </c>
      <c r="V862" s="306">
        <f t="shared" ca="1" si="380"/>
        <v>1.2263196971397039</v>
      </c>
      <c r="W862" s="304">
        <f t="shared" ca="1" si="381"/>
        <v>55.006094049715379</v>
      </c>
      <c r="Y862" s="314" t="str">
        <f t="shared" ca="1" si="399"/>
        <v/>
      </c>
      <c r="Z862" s="315" t="str">
        <f t="shared" ca="1" si="400"/>
        <v/>
      </c>
      <c r="AA862" s="316" t="str">
        <f t="shared" ca="1" si="401"/>
        <v/>
      </c>
      <c r="AC862" s="310" t="e">
        <f t="shared" ca="1" si="402"/>
        <v>#N/A</v>
      </c>
      <c r="AD862" s="323" t="e">
        <f t="shared" ca="1" si="403"/>
        <v>#N/A</v>
      </c>
      <c r="AE862" s="324" t="e">
        <f t="shared" ca="1" si="382"/>
        <v>#N/A</v>
      </c>
      <c r="AG862" s="306">
        <f t="shared" ca="1" si="404"/>
        <v>1.7693983562050697</v>
      </c>
      <c r="AH862" s="304">
        <f t="shared" ca="1" si="405"/>
        <v>-8.0277108797710639</v>
      </c>
    </row>
    <row r="863" spans="1:34" x14ac:dyDescent="0.2">
      <c r="A863" s="347">
        <f t="shared" ca="1" si="383"/>
        <v>1E-4</v>
      </c>
      <c r="B863" s="304">
        <f t="shared" ca="1" si="384"/>
        <v>39.410500000000596</v>
      </c>
      <c r="D863" s="306">
        <f t="shared" ca="1" si="385"/>
        <v>-0.41140292350236479</v>
      </c>
      <c r="E863" s="307">
        <f t="shared" ca="1" si="386"/>
        <v>-1.7928057902070194</v>
      </c>
      <c r="F863" s="304">
        <f t="shared" ca="1" si="387"/>
        <v>1.8394034268931077</v>
      </c>
      <c r="G863" s="306">
        <f t="shared" ca="1" si="388"/>
        <v>6.8456817122334446</v>
      </c>
      <c r="H863" s="307">
        <f t="shared" ca="1" si="389"/>
        <v>-133.40586621124532</v>
      </c>
      <c r="I863" s="304">
        <f t="shared" ca="1" si="390"/>
        <v>133.5813927823703</v>
      </c>
      <c r="J863" s="306">
        <f t="shared" ca="1" si="391"/>
        <v>539.267207314762</v>
      </c>
      <c r="K863" s="307">
        <f t="shared" ca="1" si="392"/>
        <v>-10.780578659606705</v>
      </c>
      <c r="L863" s="304">
        <f t="shared" ca="1" si="377"/>
        <v>539.37495470340343</v>
      </c>
      <c r="M863" s="306">
        <f t="shared" ca="1" si="393"/>
        <v>-1.5195265985367681</v>
      </c>
      <c r="N863" s="304">
        <f t="shared" ca="1" si="394"/>
        <v>-87.062460954026619</v>
      </c>
      <c r="P863" s="310">
        <f t="shared" ca="1" si="395"/>
        <v>23</v>
      </c>
      <c r="Q863" s="304">
        <f t="shared" ca="1" si="396"/>
        <v>0</v>
      </c>
      <c r="R863" s="306">
        <f t="shared" ca="1" si="397"/>
        <v>0</v>
      </c>
      <c r="S863" s="307">
        <f t="shared" ca="1" si="398"/>
        <v>6.8519999999999914</v>
      </c>
      <c r="T863" s="304">
        <f t="shared" ca="1" si="378"/>
        <v>67.218119999999914</v>
      </c>
      <c r="U863" s="311">
        <f t="shared" ca="1" si="379"/>
        <v>0</v>
      </c>
      <c r="V863" s="306">
        <f t="shared" ca="1" si="380"/>
        <v>1.2263213331225851</v>
      </c>
      <c r="W863" s="304">
        <f t="shared" ca="1" si="381"/>
        <v>55.006313149400015</v>
      </c>
      <c r="Y863" s="314" t="str">
        <f t="shared" ca="1" si="399"/>
        <v/>
      </c>
      <c r="Z863" s="315" t="str">
        <f t="shared" ca="1" si="400"/>
        <v/>
      </c>
      <c r="AA863" s="316" t="str">
        <f t="shared" ca="1" si="401"/>
        <v/>
      </c>
      <c r="AC863" s="310" t="e">
        <f t="shared" ca="1" si="402"/>
        <v>#N/A</v>
      </c>
      <c r="AD863" s="323" t="e">
        <f t="shared" ca="1" si="403"/>
        <v>#N/A</v>
      </c>
      <c r="AE863" s="324" t="e">
        <f t="shared" ca="1" si="382"/>
        <v>#N/A</v>
      </c>
      <c r="AG863" s="306">
        <f t="shared" ca="1" si="404"/>
        <v>1.7693665691277563</v>
      </c>
      <c r="AH863" s="304">
        <f t="shared" ca="1" si="405"/>
        <v>-8.0277428560588806</v>
      </c>
    </row>
    <row r="864" spans="1:34" x14ac:dyDescent="0.2">
      <c r="A864" s="347">
        <f t="shared" ca="1" si="383"/>
        <v>1E-4</v>
      </c>
      <c r="B864" s="304">
        <f t="shared" ca="1" si="384"/>
        <v>39.410600000000599</v>
      </c>
      <c r="D864" s="306">
        <f t="shared" ca="1" si="385"/>
        <v>-0.4114015448799746</v>
      </c>
      <c r="E864" s="307">
        <f t="shared" ca="1" si="386"/>
        <v>-1.7927737013715799</v>
      </c>
      <c r="F864" s="304">
        <f t="shared" ca="1" si="387"/>
        <v>1.8393718426297561</v>
      </c>
      <c r="G864" s="306">
        <f t="shared" ca="1" si="388"/>
        <v>6.8456405720789562</v>
      </c>
      <c r="H864" s="307">
        <f t="shared" ca="1" si="389"/>
        <v>-133.40604548861546</v>
      </c>
      <c r="I864" s="304">
        <f t="shared" ca="1" si="390"/>
        <v>133.581569715858</v>
      </c>
      <c r="J864" s="306">
        <f t="shared" ca="1" si="391"/>
        <v>539.267207314762</v>
      </c>
      <c r="K864" s="307">
        <f t="shared" ca="1" si="392"/>
        <v>-10.793919255191698</v>
      </c>
      <c r="L864" s="304">
        <f t="shared" ca="1" si="377"/>
        <v>539.37522150906238</v>
      </c>
      <c r="M864" s="306">
        <f t="shared" ca="1" si="393"/>
        <v>-1.5195269748878772</v>
      </c>
      <c r="N864" s="304">
        <f t="shared" ca="1" si="394"/>
        <v>-87.062482517356798</v>
      </c>
      <c r="P864" s="310">
        <f t="shared" ca="1" si="395"/>
        <v>23</v>
      </c>
      <c r="Q864" s="304">
        <f t="shared" ca="1" si="396"/>
        <v>0</v>
      </c>
      <c r="R864" s="306">
        <f t="shared" ca="1" si="397"/>
        <v>0</v>
      </c>
      <c r="S864" s="307">
        <f t="shared" ca="1" si="398"/>
        <v>6.8519999999999914</v>
      </c>
      <c r="T864" s="304">
        <f t="shared" ca="1" si="378"/>
        <v>67.218119999999914</v>
      </c>
      <c r="U864" s="311">
        <f t="shared" ca="1" si="379"/>
        <v>0</v>
      </c>
      <c r="V864" s="306">
        <f t="shared" ca="1" si="380"/>
        <v>1.2263229691098487</v>
      </c>
      <c r="W864" s="304">
        <f t="shared" ca="1" si="381"/>
        <v>55.006532247245183</v>
      </c>
      <c r="Y864" s="314" t="str">
        <f t="shared" ca="1" si="399"/>
        <v/>
      </c>
      <c r="Z864" s="315" t="str">
        <f t="shared" ca="1" si="400"/>
        <v/>
      </c>
      <c r="AA864" s="316" t="str">
        <f t="shared" ca="1" si="401"/>
        <v/>
      </c>
      <c r="AC864" s="310" t="e">
        <f t="shared" ca="1" si="402"/>
        <v>#N/A</v>
      </c>
      <c r="AD864" s="323" t="e">
        <f t="shared" ca="1" si="403"/>
        <v>#N/A</v>
      </c>
      <c r="AE864" s="324" t="e">
        <f t="shared" ca="1" si="382"/>
        <v>#N/A</v>
      </c>
      <c r="AG864" s="306">
        <f t="shared" ca="1" si="404"/>
        <v>1.7693347823158749</v>
      </c>
      <c r="AH864" s="304">
        <f t="shared" ca="1" si="405"/>
        <v>-8.0277748320782383</v>
      </c>
    </row>
    <row r="865" spans="1:34" x14ac:dyDescent="0.2">
      <c r="A865" s="347">
        <f t="shared" ca="1" si="383"/>
        <v>1E-4</v>
      </c>
      <c r="B865" s="304">
        <f t="shared" ca="1" si="384"/>
        <v>39.410700000000602</v>
      </c>
      <c r="D865" s="306">
        <f t="shared" ca="1" si="385"/>
        <v>-0.41140016624585929</v>
      </c>
      <c r="E865" s="307">
        <f t="shared" ca="1" si="386"/>
        <v>-1.7927416128054912</v>
      </c>
      <c r="F865" s="304">
        <f t="shared" ca="1" si="387"/>
        <v>1.8393402586448093</v>
      </c>
      <c r="G865" s="306">
        <f t="shared" ca="1" si="388"/>
        <v>6.8455994320623317</v>
      </c>
      <c r="H865" s="307">
        <f t="shared" ca="1" si="389"/>
        <v>-133.40622476277673</v>
      </c>
      <c r="I865" s="304">
        <f t="shared" ca="1" si="390"/>
        <v>133.58174664616701</v>
      </c>
      <c r="J865" s="306">
        <f t="shared" ca="1" si="391"/>
        <v>539.267207314762</v>
      </c>
      <c r="K865" s="307">
        <f t="shared" ca="1" si="392"/>
        <v>-10.807259868704268</v>
      </c>
      <c r="L865" s="304">
        <f t="shared" ca="1" si="377"/>
        <v>539.37548864490702</v>
      </c>
      <c r="M865" s="306">
        <f t="shared" ca="1" si="393"/>
        <v>-1.5195273512357279</v>
      </c>
      <c r="N865" s="304">
        <f t="shared" ca="1" si="394"/>
        <v>-87.062504080500261</v>
      </c>
      <c r="P865" s="310">
        <f t="shared" ca="1" si="395"/>
        <v>23</v>
      </c>
      <c r="Q865" s="304">
        <f t="shared" ca="1" si="396"/>
        <v>0</v>
      </c>
      <c r="R865" s="306">
        <f t="shared" ca="1" si="397"/>
        <v>0</v>
      </c>
      <c r="S865" s="307">
        <f t="shared" ca="1" si="398"/>
        <v>6.8519999999999914</v>
      </c>
      <c r="T865" s="304">
        <f t="shared" ca="1" si="378"/>
        <v>67.218119999999914</v>
      </c>
      <c r="U865" s="311">
        <f t="shared" ca="1" si="379"/>
        <v>0</v>
      </c>
      <c r="V865" s="306">
        <f t="shared" ca="1" si="380"/>
        <v>1.226324605101494</v>
      </c>
      <c r="W865" s="304">
        <f t="shared" ca="1" si="381"/>
        <v>55.006751343250819</v>
      </c>
      <c r="Y865" s="314" t="str">
        <f t="shared" ca="1" si="399"/>
        <v/>
      </c>
      <c r="Z865" s="315" t="str">
        <f t="shared" ca="1" si="400"/>
        <v/>
      </c>
      <c r="AA865" s="316" t="str">
        <f t="shared" ca="1" si="401"/>
        <v/>
      </c>
      <c r="AC865" s="310" t="e">
        <f t="shared" ca="1" si="402"/>
        <v>#N/A</v>
      </c>
      <c r="AD865" s="323" t="e">
        <f t="shared" ca="1" si="403"/>
        <v>#N/A</v>
      </c>
      <c r="AE865" s="324" t="e">
        <f t="shared" ca="1" si="382"/>
        <v>#N/A</v>
      </c>
      <c r="AG865" s="306">
        <f t="shared" ca="1" si="404"/>
        <v>1.7693029957694275</v>
      </c>
      <c r="AH865" s="304">
        <f t="shared" ca="1" si="405"/>
        <v>-8.0278068078291369</v>
      </c>
    </row>
    <row r="866" spans="1:34" x14ac:dyDescent="0.2">
      <c r="A866" s="347">
        <f t="shared" ca="1" si="383"/>
        <v>1E-4</v>
      </c>
      <c r="B866" s="304">
        <f t="shared" ca="1" si="384"/>
        <v>39.410800000000606</v>
      </c>
      <c r="D866" s="306">
        <f t="shared" ca="1" si="385"/>
        <v>-0.41139878760001558</v>
      </c>
      <c r="E866" s="307">
        <f t="shared" ca="1" si="386"/>
        <v>-1.792709524508755</v>
      </c>
      <c r="F866" s="304">
        <f t="shared" ca="1" si="387"/>
        <v>1.8393086749382683</v>
      </c>
      <c r="G866" s="306">
        <f t="shared" ca="1" si="388"/>
        <v>6.845558292183572</v>
      </c>
      <c r="H866" s="307">
        <f t="shared" ca="1" si="389"/>
        <v>-133.40640403372919</v>
      </c>
      <c r="I866" s="304">
        <f t="shared" ca="1" si="390"/>
        <v>133.58192357329744</v>
      </c>
      <c r="J866" s="306">
        <f t="shared" ca="1" si="391"/>
        <v>539.267207314762</v>
      </c>
      <c r="K866" s="307">
        <f t="shared" ca="1" si="392"/>
        <v>-10.820600500144094</v>
      </c>
      <c r="L866" s="304">
        <f t="shared" ca="1" si="377"/>
        <v>539.37575611093814</v>
      </c>
      <c r="M866" s="306">
        <f t="shared" ca="1" si="393"/>
        <v>-1.5195277275803196</v>
      </c>
      <c r="N866" s="304">
        <f t="shared" ca="1" si="394"/>
        <v>-87.062525643457008</v>
      </c>
      <c r="P866" s="310">
        <f t="shared" ca="1" si="395"/>
        <v>23</v>
      </c>
      <c r="Q866" s="304">
        <f t="shared" ca="1" si="396"/>
        <v>0</v>
      </c>
      <c r="R866" s="306">
        <f t="shared" ca="1" si="397"/>
        <v>0</v>
      </c>
      <c r="S866" s="307">
        <f t="shared" ca="1" si="398"/>
        <v>6.8519999999999914</v>
      </c>
      <c r="T866" s="304">
        <f t="shared" ca="1" si="378"/>
        <v>67.218119999999914</v>
      </c>
      <c r="U866" s="311">
        <f t="shared" ca="1" si="379"/>
        <v>0</v>
      </c>
      <c r="V866" s="306">
        <f t="shared" ca="1" si="380"/>
        <v>1.226326241097522</v>
      </c>
      <c r="W866" s="304">
        <f t="shared" ca="1" si="381"/>
        <v>55.006970437417053</v>
      </c>
      <c r="Y866" s="314" t="str">
        <f t="shared" ca="1" si="399"/>
        <v/>
      </c>
      <c r="Z866" s="315" t="str">
        <f t="shared" ca="1" si="400"/>
        <v/>
      </c>
      <c r="AA866" s="316" t="str">
        <f t="shared" ca="1" si="401"/>
        <v/>
      </c>
      <c r="AC866" s="310" t="e">
        <f t="shared" ca="1" si="402"/>
        <v>#N/A</v>
      </c>
      <c r="AD866" s="323" t="e">
        <f t="shared" ca="1" si="403"/>
        <v>#N/A</v>
      </c>
      <c r="AE866" s="324" t="e">
        <f t="shared" ca="1" si="382"/>
        <v>#N/A</v>
      </c>
      <c r="AG866" s="306">
        <f t="shared" ca="1" si="404"/>
        <v>1.7692712094884193</v>
      </c>
      <c r="AH866" s="304">
        <f t="shared" ca="1" si="405"/>
        <v>-8.0278387833115712</v>
      </c>
    </row>
    <row r="867" spans="1:34" x14ac:dyDescent="0.2">
      <c r="A867" s="347">
        <f t="shared" ca="1" si="383"/>
        <v>1E-4</v>
      </c>
      <c r="B867" s="304">
        <f t="shared" ca="1" si="384"/>
        <v>39.410900000000609</v>
      </c>
      <c r="D867" s="306">
        <f t="shared" ca="1" si="385"/>
        <v>-0.41139740894244847</v>
      </c>
      <c r="E867" s="307">
        <f t="shared" ca="1" si="386"/>
        <v>-1.7926774364813571</v>
      </c>
      <c r="F867" s="304">
        <f t="shared" ca="1" si="387"/>
        <v>1.8392770915101211</v>
      </c>
      <c r="G867" s="306">
        <f t="shared" ca="1" si="388"/>
        <v>6.8455171524426781</v>
      </c>
      <c r="H867" s="307">
        <f t="shared" ca="1" si="389"/>
        <v>-133.40658330147284</v>
      </c>
      <c r="I867" s="304">
        <f t="shared" ca="1" si="390"/>
        <v>133.58210049724926</v>
      </c>
      <c r="J867" s="306">
        <f t="shared" ca="1" si="391"/>
        <v>539.267207314762</v>
      </c>
      <c r="K867" s="307">
        <f t="shared" ca="1" si="392"/>
        <v>-10.833941149510855</v>
      </c>
      <c r="L867" s="304">
        <f t="shared" ca="1" si="377"/>
        <v>539.37602390715665</v>
      </c>
      <c r="M867" s="306">
        <f t="shared" ca="1" si="393"/>
        <v>-1.5195281039216531</v>
      </c>
      <c r="N867" s="304">
        <f t="shared" ca="1" si="394"/>
        <v>-87.06254720622708</v>
      </c>
      <c r="P867" s="310">
        <f t="shared" ca="1" si="395"/>
        <v>23</v>
      </c>
      <c r="Q867" s="304">
        <f t="shared" ca="1" si="396"/>
        <v>0</v>
      </c>
      <c r="R867" s="306">
        <f t="shared" ca="1" si="397"/>
        <v>0</v>
      </c>
      <c r="S867" s="307">
        <f t="shared" ca="1" si="398"/>
        <v>6.8519999999999914</v>
      </c>
      <c r="T867" s="304">
        <f t="shared" ca="1" si="378"/>
        <v>67.218119999999914</v>
      </c>
      <c r="U867" s="311">
        <f t="shared" ca="1" si="379"/>
        <v>0</v>
      </c>
      <c r="V867" s="306">
        <f t="shared" ca="1" si="380"/>
        <v>1.2263278770979318</v>
      </c>
      <c r="W867" s="304">
        <f t="shared" ca="1" si="381"/>
        <v>55.007189529743769</v>
      </c>
      <c r="Y867" s="314" t="str">
        <f t="shared" ca="1" si="399"/>
        <v/>
      </c>
      <c r="Z867" s="315" t="str">
        <f t="shared" ca="1" si="400"/>
        <v/>
      </c>
      <c r="AA867" s="316" t="str">
        <f t="shared" ca="1" si="401"/>
        <v/>
      </c>
      <c r="AC867" s="310" t="e">
        <f t="shared" ca="1" si="402"/>
        <v>#N/A</v>
      </c>
      <c r="AD867" s="323" t="e">
        <f t="shared" ca="1" si="403"/>
        <v>#N/A</v>
      </c>
      <c r="AE867" s="324" t="e">
        <f t="shared" ca="1" si="382"/>
        <v>#N/A</v>
      </c>
      <c r="AG867" s="306">
        <f t="shared" ca="1" si="404"/>
        <v>1.7692394234728344</v>
      </c>
      <c r="AH867" s="304">
        <f t="shared" ca="1" si="405"/>
        <v>-8.0278707585255571</v>
      </c>
    </row>
    <row r="868" spans="1:34" x14ac:dyDescent="0.2">
      <c r="A868" s="347">
        <f t="shared" ca="1" si="383"/>
        <v>1E-4</v>
      </c>
      <c r="B868" s="304">
        <f t="shared" ca="1" si="384"/>
        <v>39.411000000000612</v>
      </c>
      <c r="D868" s="306">
        <f t="shared" ca="1" si="385"/>
        <v>-0.41139603027315258</v>
      </c>
      <c r="E868" s="307">
        <f t="shared" ca="1" si="386"/>
        <v>-1.7926453487233136</v>
      </c>
      <c r="F868" s="304">
        <f t="shared" ca="1" si="387"/>
        <v>1.8392455083603818</v>
      </c>
      <c r="G868" s="306">
        <f t="shared" ca="1" si="388"/>
        <v>6.8454760128396508</v>
      </c>
      <c r="H868" s="307">
        <f t="shared" ca="1" si="389"/>
        <v>-133.4067625660077</v>
      </c>
      <c r="I868" s="304">
        <f t="shared" ca="1" si="390"/>
        <v>133.58227741802247</v>
      </c>
      <c r="J868" s="306">
        <f t="shared" ca="1" si="391"/>
        <v>539.267207314762</v>
      </c>
      <c r="K868" s="307">
        <f t="shared" ca="1" si="392"/>
        <v>-10.847281816804228</v>
      </c>
      <c r="L868" s="304">
        <f t="shared" ca="1" si="377"/>
        <v>539.37629203356323</v>
      </c>
      <c r="M868" s="306">
        <f t="shared" ca="1" si="393"/>
        <v>-1.5195284802597278</v>
      </c>
      <c r="N868" s="304">
        <f t="shared" ca="1" si="394"/>
        <v>-87.062568768810422</v>
      </c>
      <c r="P868" s="310">
        <f t="shared" ca="1" si="395"/>
        <v>23</v>
      </c>
      <c r="Q868" s="304">
        <f t="shared" ca="1" si="396"/>
        <v>0</v>
      </c>
      <c r="R868" s="306">
        <f t="shared" ca="1" si="397"/>
        <v>0</v>
      </c>
      <c r="S868" s="307">
        <f t="shared" ca="1" si="398"/>
        <v>6.8519999999999914</v>
      </c>
      <c r="T868" s="304">
        <f t="shared" ca="1" si="378"/>
        <v>67.218119999999914</v>
      </c>
      <c r="U868" s="311">
        <f t="shared" ca="1" si="379"/>
        <v>0</v>
      </c>
      <c r="V868" s="306">
        <f t="shared" ca="1" si="380"/>
        <v>1.2263295131027239</v>
      </c>
      <c r="W868" s="304">
        <f t="shared" ca="1" si="381"/>
        <v>55.007408620231026</v>
      </c>
      <c r="Y868" s="314" t="str">
        <f t="shared" ca="1" si="399"/>
        <v/>
      </c>
      <c r="Z868" s="315" t="str">
        <f t="shared" ca="1" si="400"/>
        <v/>
      </c>
      <c r="AA868" s="316" t="str">
        <f t="shared" ca="1" si="401"/>
        <v/>
      </c>
      <c r="AC868" s="310" t="e">
        <f t="shared" ca="1" si="402"/>
        <v>#N/A</v>
      </c>
      <c r="AD868" s="323" t="e">
        <f t="shared" ca="1" si="403"/>
        <v>#N/A</v>
      </c>
      <c r="AE868" s="324" t="e">
        <f t="shared" ca="1" si="382"/>
        <v>#N/A</v>
      </c>
      <c r="AG868" s="306">
        <f t="shared" ca="1" si="404"/>
        <v>1.7692076377226851</v>
      </c>
      <c r="AH868" s="304">
        <f t="shared" ca="1" si="405"/>
        <v>-8.0279027334710804</v>
      </c>
    </row>
    <row r="869" spans="1:34" x14ac:dyDescent="0.2">
      <c r="A869" s="347">
        <f t="shared" ca="1" si="383"/>
        <v>1E-4</v>
      </c>
      <c r="B869" s="304">
        <f t="shared" ca="1" si="384"/>
        <v>39.411100000000616</v>
      </c>
      <c r="D869" s="306">
        <f t="shared" ca="1" si="385"/>
        <v>-0.4113946515921324</v>
      </c>
      <c r="E869" s="307">
        <f t="shared" ca="1" si="386"/>
        <v>-1.7926132612346155</v>
      </c>
      <c r="F869" s="304">
        <f t="shared" ca="1" si="387"/>
        <v>1.8392139254890432</v>
      </c>
      <c r="G869" s="306">
        <f t="shared" ca="1" si="388"/>
        <v>6.8454348733744919</v>
      </c>
      <c r="H869" s="307">
        <f t="shared" ca="1" si="389"/>
        <v>-133.40694182733381</v>
      </c>
      <c r="I869" s="304">
        <f t="shared" ca="1" si="390"/>
        <v>133.58245433561714</v>
      </c>
      <c r="J869" s="306">
        <f t="shared" ca="1" si="391"/>
        <v>539.267207314762</v>
      </c>
      <c r="K869" s="307">
        <f t="shared" ca="1" si="392"/>
        <v>-10.860622502023896</v>
      </c>
      <c r="L869" s="304">
        <f t="shared" ca="1" si="377"/>
        <v>539.37656049015879</v>
      </c>
      <c r="M869" s="306">
        <f t="shared" ca="1" si="393"/>
        <v>-1.5195288565945437</v>
      </c>
      <c r="N869" s="304">
        <f t="shared" ca="1" si="394"/>
        <v>-87.062590331207062</v>
      </c>
      <c r="P869" s="310">
        <f t="shared" ca="1" si="395"/>
        <v>23</v>
      </c>
      <c r="Q869" s="304">
        <f t="shared" ca="1" si="396"/>
        <v>0</v>
      </c>
      <c r="R869" s="306">
        <f t="shared" ca="1" si="397"/>
        <v>0</v>
      </c>
      <c r="S869" s="307">
        <f t="shared" ca="1" si="398"/>
        <v>6.8519999999999914</v>
      </c>
      <c r="T869" s="304">
        <f t="shared" ca="1" si="378"/>
        <v>67.218119999999914</v>
      </c>
      <c r="U869" s="311">
        <f t="shared" ca="1" si="379"/>
        <v>0</v>
      </c>
      <c r="V869" s="306">
        <f t="shared" ca="1" si="380"/>
        <v>1.2263311491118978</v>
      </c>
      <c r="W869" s="304">
        <f t="shared" ca="1" si="381"/>
        <v>55.0076277088788</v>
      </c>
      <c r="Y869" s="314" t="str">
        <f t="shared" ca="1" si="399"/>
        <v/>
      </c>
      <c r="Z869" s="315" t="str">
        <f t="shared" ca="1" si="400"/>
        <v/>
      </c>
      <c r="AA869" s="316" t="str">
        <f t="shared" ca="1" si="401"/>
        <v/>
      </c>
      <c r="AC869" s="310" t="e">
        <f t="shared" ca="1" si="402"/>
        <v>#N/A</v>
      </c>
      <c r="AD869" s="323" t="e">
        <f t="shared" ca="1" si="403"/>
        <v>#N/A</v>
      </c>
      <c r="AE869" s="324" t="e">
        <f t="shared" ca="1" si="382"/>
        <v>#N/A</v>
      </c>
      <c r="AG869" s="306">
        <f t="shared" ca="1" si="404"/>
        <v>1.7691758522379679</v>
      </c>
      <c r="AH869" s="304">
        <f t="shared" ca="1" si="405"/>
        <v>-8.0279347081481465</v>
      </c>
    </row>
    <row r="870" spans="1:34" x14ac:dyDescent="0.2">
      <c r="A870" s="347">
        <f t="shared" ca="1" si="383"/>
        <v>1E-4</v>
      </c>
      <c r="B870" s="304">
        <f t="shared" ca="1" si="384"/>
        <v>39.411200000000619</v>
      </c>
      <c r="D870" s="306">
        <f t="shared" ca="1" si="385"/>
        <v>-0.41139327289938826</v>
      </c>
      <c r="E870" s="307">
        <f t="shared" ca="1" si="386"/>
        <v>-1.7925811740152664</v>
      </c>
      <c r="F870" s="304">
        <f t="shared" ca="1" si="387"/>
        <v>1.8391823428961092</v>
      </c>
      <c r="G870" s="306">
        <f t="shared" ca="1" si="388"/>
        <v>6.8453937340472022</v>
      </c>
      <c r="H870" s="307">
        <f t="shared" ca="1" si="389"/>
        <v>-133.40712108545122</v>
      </c>
      <c r="I870" s="304">
        <f t="shared" ca="1" si="390"/>
        <v>133.5826312500333</v>
      </c>
      <c r="J870" s="306">
        <f t="shared" ca="1" si="391"/>
        <v>539.267207314762</v>
      </c>
      <c r="K870" s="307">
        <f t="shared" ca="1" si="392"/>
        <v>-10.873963205169535</v>
      </c>
      <c r="L870" s="304">
        <f t="shared" ca="1" si="377"/>
        <v>539.37682927694425</v>
      </c>
      <c r="M870" s="306">
        <f t="shared" ca="1" si="393"/>
        <v>-1.5195292329261014</v>
      </c>
      <c r="N870" s="304">
        <f t="shared" ca="1" si="394"/>
        <v>-87.062611893417014</v>
      </c>
      <c r="P870" s="310">
        <f t="shared" ca="1" si="395"/>
        <v>23</v>
      </c>
      <c r="Q870" s="304">
        <f t="shared" ca="1" si="396"/>
        <v>0</v>
      </c>
      <c r="R870" s="306">
        <f t="shared" ca="1" si="397"/>
        <v>0</v>
      </c>
      <c r="S870" s="307">
        <f t="shared" ca="1" si="398"/>
        <v>6.8519999999999914</v>
      </c>
      <c r="T870" s="304">
        <f t="shared" ca="1" si="378"/>
        <v>67.218119999999914</v>
      </c>
      <c r="U870" s="311">
        <f t="shared" ca="1" si="379"/>
        <v>0</v>
      </c>
      <c r="V870" s="306">
        <f t="shared" ca="1" si="380"/>
        <v>1.2263327851254542</v>
      </c>
      <c r="W870" s="304">
        <f t="shared" ca="1" si="381"/>
        <v>55.007846795687122</v>
      </c>
      <c r="Y870" s="314" t="str">
        <f t="shared" ca="1" si="399"/>
        <v/>
      </c>
      <c r="Z870" s="315" t="str">
        <f t="shared" ca="1" si="400"/>
        <v/>
      </c>
      <c r="AA870" s="316" t="str">
        <f t="shared" ca="1" si="401"/>
        <v/>
      </c>
      <c r="AC870" s="310" t="e">
        <f t="shared" ca="1" si="402"/>
        <v>#N/A</v>
      </c>
      <c r="AD870" s="323" t="e">
        <f t="shared" ca="1" si="403"/>
        <v>#N/A</v>
      </c>
      <c r="AE870" s="324" t="e">
        <f t="shared" ca="1" si="382"/>
        <v>#N/A</v>
      </c>
      <c r="AG870" s="306">
        <f t="shared" ca="1" si="404"/>
        <v>1.7691440670186829</v>
      </c>
      <c r="AH870" s="304">
        <f t="shared" ca="1" si="405"/>
        <v>-8.0279666825567535</v>
      </c>
    </row>
    <row r="871" spans="1:34" x14ac:dyDescent="0.2">
      <c r="A871" s="347">
        <f t="shared" ca="1" si="383"/>
        <v>1E-4</v>
      </c>
      <c r="B871" s="304">
        <f t="shared" ca="1" si="384"/>
        <v>39.411300000000622</v>
      </c>
      <c r="D871" s="306">
        <f t="shared" ca="1" si="385"/>
        <v>-0.41139189419491762</v>
      </c>
      <c r="E871" s="307">
        <f t="shared" ca="1" si="386"/>
        <v>-1.7925490870652645</v>
      </c>
      <c r="F871" s="304">
        <f t="shared" ca="1" si="387"/>
        <v>1.8391507605815776</v>
      </c>
      <c r="G871" s="306">
        <f t="shared" ca="1" si="388"/>
        <v>6.8453525948577827</v>
      </c>
      <c r="H871" s="307">
        <f t="shared" ca="1" si="389"/>
        <v>-133.40730034035994</v>
      </c>
      <c r="I871" s="304">
        <f t="shared" ca="1" si="390"/>
        <v>133.58280816127098</v>
      </c>
      <c r="J871" s="306">
        <f t="shared" ca="1" si="391"/>
        <v>539.267207314762</v>
      </c>
      <c r="K871" s="307">
        <f t="shared" ca="1" si="392"/>
        <v>-10.887303926240826</v>
      </c>
      <c r="L871" s="304">
        <f t="shared" ca="1" si="377"/>
        <v>539.37709839392039</v>
      </c>
      <c r="M871" s="306">
        <f t="shared" ca="1" si="393"/>
        <v>-1.5195296092544006</v>
      </c>
      <c r="N871" s="304">
        <f t="shared" ca="1" si="394"/>
        <v>-87.062633455440277</v>
      </c>
      <c r="P871" s="310">
        <f t="shared" ca="1" si="395"/>
        <v>23</v>
      </c>
      <c r="Q871" s="304">
        <f t="shared" ca="1" si="396"/>
        <v>0</v>
      </c>
      <c r="R871" s="306">
        <f t="shared" ca="1" si="397"/>
        <v>0</v>
      </c>
      <c r="S871" s="307">
        <f t="shared" ca="1" si="398"/>
        <v>6.8519999999999914</v>
      </c>
      <c r="T871" s="304">
        <f t="shared" ca="1" si="378"/>
        <v>67.218119999999914</v>
      </c>
      <c r="U871" s="311">
        <f t="shared" ca="1" si="379"/>
        <v>0</v>
      </c>
      <c r="V871" s="306">
        <f t="shared" ca="1" si="380"/>
        <v>1.2263344211433922</v>
      </c>
      <c r="W871" s="304">
        <f t="shared" ca="1" si="381"/>
        <v>55.008065880655984</v>
      </c>
      <c r="Y871" s="314" t="str">
        <f t="shared" ca="1" si="399"/>
        <v/>
      </c>
      <c r="Z871" s="315" t="str">
        <f t="shared" ca="1" si="400"/>
        <v/>
      </c>
      <c r="AA871" s="316" t="str">
        <f t="shared" ca="1" si="401"/>
        <v/>
      </c>
      <c r="AC871" s="310" t="e">
        <f t="shared" ca="1" si="402"/>
        <v>#N/A</v>
      </c>
      <c r="AD871" s="323" t="e">
        <f t="shared" ca="1" si="403"/>
        <v>#N/A</v>
      </c>
      <c r="AE871" s="324" t="e">
        <f t="shared" ca="1" si="382"/>
        <v>#N/A</v>
      </c>
      <c r="AG871" s="306">
        <f t="shared" ca="1" si="404"/>
        <v>1.76911228206483</v>
      </c>
      <c r="AH871" s="304">
        <f t="shared" ca="1" si="405"/>
        <v>-8.027998656696905</v>
      </c>
    </row>
    <row r="872" spans="1:34" x14ac:dyDescent="0.2">
      <c r="A872" s="347">
        <f t="shared" ca="1" si="383"/>
        <v>1E-4</v>
      </c>
      <c r="B872" s="304">
        <f t="shared" ca="1" si="384"/>
        <v>39.411400000000626</v>
      </c>
      <c r="D872" s="306">
        <f t="shared" ca="1" si="385"/>
        <v>-0.4113905154787228</v>
      </c>
      <c r="E872" s="307">
        <f t="shared" ca="1" si="386"/>
        <v>-1.792517000384608</v>
      </c>
      <c r="F872" s="304">
        <f t="shared" ca="1" si="387"/>
        <v>1.8391191785454475</v>
      </c>
      <c r="G872" s="306">
        <f t="shared" ca="1" si="388"/>
        <v>6.8453114558062351</v>
      </c>
      <c r="H872" s="307">
        <f t="shared" ca="1" si="389"/>
        <v>-133.40747959205999</v>
      </c>
      <c r="I872" s="304">
        <f t="shared" ca="1" si="390"/>
        <v>133.58298506933019</v>
      </c>
      <c r="J872" s="306">
        <f t="shared" ca="1" si="391"/>
        <v>539.267207314762</v>
      </c>
      <c r="K872" s="307">
        <f t="shared" ca="1" si="392"/>
        <v>-10.900644665237447</v>
      </c>
      <c r="L872" s="304">
        <f t="shared" ca="1" si="377"/>
        <v>539.3773678410879</v>
      </c>
      <c r="M872" s="306">
        <f t="shared" ca="1" si="393"/>
        <v>-1.5195299855794415</v>
      </c>
      <c r="N872" s="304">
        <f t="shared" ca="1" si="394"/>
        <v>-87.062655017276839</v>
      </c>
      <c r="P872" s="310">
        <f t="shared" ca="1" si="395"/>
        <v>23</v>
      </c>
      <c r="Q872" s="304">
        <f t="shared" ca="1" si="396"/>
        <v>0</v>
      </c>
      <c r="R872" s="306">
        <f t="shared" ca="1" si="397"/>
        <v>0</v>
      </c>
      <c r="S872" s="307">
        <f t="shared" ca="1" si="398"/>
        <v>6.8519999999999914</v>
      </c>
      <c r="T872" s="304">
        <f t="shared" ca="1" si="378"/>
        <v>67.218119999999914</v>
      </c>
      <c r="U872" s="311">
        <f t="shared" ca="1" si="379"/>
        <v>0</v>
      </c>
      <c r="V872" s="306">
        <f t="shared" ca="1" si="380"/>
        <v>1.2263360571657127</v>
      </c>
      <c r="W872" s="304">
        <f t="shared" ca="1" si="381"/>
        <v>55.0082849637854</v>
      </c>
      <c r="Y872" s="314" t="str">
        <f t="shared" ca="1" si="399"/>
        <v/>
      </c>
      <c r="Z872" s="315" t="str">
        <f t="shared" ca="1" si="400"/>
        <v/>
      </c>
      <c r="AA872" s="316" t="str">
        <f t="shared" ca="1" si="401"/>
        <v/>
      </c>
      <c r="AC872" s="310" t="e">
        <f t="shared" ca="1" si="402"/>
        <v>#N/A</v>
      </c>
      <c r="AD872" s="323" t="e">
        <f t="shared" ca="1" si="403"/>
        <v>#N/A</v>
      </c>
      <c r="AE872" s="324" t="e">
        <f t="shared" ca="1" si="382"/>
        <v>#N/A</v>
      </c>
      <c r="AG872" s="306">
        <f t="shared" ca="1" si="404"/>
        <v>1.7690804973764038</v>
      </c>
      <c r="AH872" s="304">
        <f t="shared" ca="1" si="405"/>
        <v>-8.0280306305686011</v>
      </c>
    </row>
    <row r="873" spans="1:34" x14ac:dyDescent="0.2">
      <c r="A873" s="347">
        <f t="shared" ca="1" si="383"/>
        <v>1E-4</v>
      </c>
      <c r="B873" s="304">
        <f t="shared" ca="1" si="384"/>
        <v>39.411500000000629</v>
      </c>
      <c r="D873" s="306">
        <f t="shared" ca="1" si="385"/>
        <v>-0.41138913675080263</v>
      </c>
      <c r="E873" s="307">
        <f t="shared" ca="1" si="386"/>
        <v>-1.7924849139732935</v>
      </c>
      <c r="F873" s="304">
        <f t="shared" ca="1" si="387"/>
        <v>1.8390875967877158</v>
      </c>
      <c r="G873" s="306">
        <f t="shared" ca="1" si="388"/>
        <v>6.8452703168925604</v>
      </c>
      <c r="H873" s="307">
        <f t="shared" ca="1" si="389"/>
        <v>-133.40765884055139</v>
      </c>
      <c r="I873" s="304">
        <f t="shared" ca="1" si="390"/>
        <v>133.58316197421095</v>
      </c>
      <c r="J873" s="306">
        <f t="shared" ca="1" si="391"/>
        <v>539.267207314762</v>
      </c>
      <c r="K873" s="307">
        <f t="shared" ca="1" si="392"/>
        <v>-10.913985422159078</v>
      </c>
      <c r="L873" s="304">
        <f t="shared" ca="1" si="377"/>
        <v>539.37763761844781</v>
      </c>
      <c r="M873" s="306">
        <f t="shared" ca="1" si="393"/>
        <v>-1.5195303619012239</v>
      </c>
      <c r="N873" s="304">
        <f t="shared" ca="1" si="394"/>
        <v>-87.062676578926713</v>
      </c>
      <c r="P873" s="310">
        <f t="shared" ca="1" si="395"/>
        <v>23</v>
      </c>
      <c r="Q873" s="304">
        <f t="shared" ca="1" si="396"/>
        <v>0</v>
      </c>
      <c r="R873" s="306">
        <f t="shared" ca="1" si="397"/>
        <v>0</v>
      </c>
      <c r="S873" s="307">
        <f t="shared" ca="1" si="398"/>
        <v>6.8519999999999914</v>
      </c>
      <c r="T873" s="304">
        <f t="shared" ca="1" si="378"/>
        <v>67.218119999999914</v>
      </c>
      <c r="U873" s="311">
        <f t="shared" ca="1" si="379"/>
        <v>0</v>
      </c>
      <c r="V873" s="306">
        <f t="shared" ca="1" si="380"/>
        <v>1.2263376931924144</v>
      </c>
      <c r="W873" s="304">
        <f t="shared" ca="1" si="381"/>
        <v>55.008504045075306</v>
      </c>
      <c r="Y873" s="314" t="str">
        <f t="shared" ca="1" si="399"/>
        <v/>
      </c>
      <c r="Z873" s="315" t="str">
        <f t="shared" ca="1" si="400"/>
        <v/>
      </c>
      <c r="AA873" s="316" t="str">
        <f t="shared" ca="1" si="401"/>
        <v/>
      </c>
      <c r="AC873" s="310" t="e">
        <f t="shared" ca="1" si="402"/>
        <v>#N/A</v>
      </c>
      <c r="AD873" s="323" t="e">
        <f t="shared" ca="1" si="403"/>
        <v>#N/A</v>
      </c>
      <c r="AE873" s="324" t="e">
        <f t="shared" ca="1" si="382"/>
        <v>#N/A</v>
      </c>
      <c r="AG873" s="306">
        <f t="shared" ca="1" si="404"/>
        <v>1.769048712953408</v>
      </c>
      <c r="AH873" s="304">
        <f t="shared" ca="1" si="405"/>
        <v>-8.0280626041718435</v>
      </c>
    </row>
    <row r="874" spans="1:34" x14ac:dyDescent="0.2">
      <c r="A874" s="347">
        <f t="shared" ca="1" si="383"/>
        <v>1E-4</v>
      </c>
      <c r="B874" s="304">
        <f t="shared" ca="1" si="384"/>
        <v>39.411600000000632</v>
      </c>
      <c r="D874" s="306">
        <f t="shared" ca="1" si="385"/>
        <v>-0.41138775801115907</v>
      </c>
      <c r="E874" s="307">
        <f t="shared" ca="1" si="386"/>
        <v>-1.792452827831335</v>
      </c>
      <c r="F874" s="304">
        <f t="shared" ca="1" si="387"/>
        <v>1.8390560153083966</v>
      </c>
      <c r="G874" s="306">
        <f t="shared" ca="1" si="388"/>
        <v>6.8452291781167593</v>
      </c>
      <c r="H874" s="307">
        <f t="shared" ca="1" si="389"/>
        <v>-133.40783808583419</v>
      </c>
      <c r="I874" s="304">
        <f t="shared" ca="1" si="390"/>
        <v>133.58333887591331</v>
      </c>
      <c r="J874" s="306">
        <f t="shared" ca="1" si="391"/>
        <v>539.267207314762</v>
      </c>
      <c r="K874" s="307">
        <f t="shared" ca="1" si="392"/>
        <v>-10.927326197005398</v>
      </c>
      <c r="L874" s="304">
        <f t="shared" ca="1" si="377"/>
        <v>539.3779077260009</v>
      </c>
      <c r="M874" s="306">
        <f t="shared" ca="1" si="393"/>
        <v>-1.519530738219748</v>
      </c>
      <c r="N874" s="304">
        <f t="shared" ca="1" si="394"/>
        <v>-87.062698140389898</v>
      </c>
      <c r="P874" s="310">
        <f t="shared" ca="1" si="395"/>
        <v>23</v>
      </c>
      <c r="Q874" s="304">
        <f t="shared" ca="1" si="396"/>
        <v>0</v>
      </c>
      <c r="R874" s="306">
        <f t="shared" ca="1" si="397"/>
        <v>0</v>
      </c>
      <c r="S874" s="307">
        <f t="shared" ca="1" si="398"/>
        <v>6.8519999999999914</v>
      </c>
      <c r="T874" s="304">
        <f t="shared" ca="1" si="378"/>
        <v>67.218119999999914</v>
      </c>
      <c r="U874" s="311">
        <f t="shared" ca="1" si="379"/>
        <v>0</v>
      </c>
      <c r="V874" s="306">
        <f t="shared" ca="1" si="380"/>
        <v>1.2263393292234988</v>
      </c>
      <c r="W874" s="304">
        <f t="shared" ca="1" si="381"/>
        <v>55.008723124525815</v>
      </c>
      <c r="Y874" s="314" t="str">
        <f t="shared" ca="1" si="399"/>
        <v/>
      </c>
      <c r="Z874" s="315" t="str">
        <f t="shared" ca="1" si="400"/>
        <v/>
      </c>
      <c r="AA874" s="316" t="str">
        <f t="shared" ca="1" si="401"/>
        <v/>
      </c>
      <c r="AC874" s="310" t="e">
        <f t="shared" ca="1" si="402"/>
        <v>#N/A</v>
      </c>
      <c r="AD874" s="323" t="e">
        <f t="shared" ca="1" si="403"/>
        <v>#N/A</v>
      </c>
      <c r="AE874" s="324" t="e">
        <f t="shared" ca="1" si="382"/>
        <v>#N/A</v>
      </c>
      <c r="AG874" s="306">
        <f t="shared" ca="1" si="404"/>
        <v>1.7690169287958515</v>
      </c>
      <c r="AH874" s="304">
        <f t="shared" ca="1" si="405"/>
        <v>-8.0280945775066215</v>
      </c>
    </row>
    <row r="875" spans="1:34" x14ac:dyDescent="0.2">
      <c r="A875" s="347">
        <f t="shared" ca="1" si="383"/>
        <v>1E-4</v>
      </c>
      <c r="B875" s="304">
        <f t="shared" ca="1" si="384"/>
        <v>39.411700000000636</v>
      </c>
      <c r="D875" s="306">
        <f t="shared" ca="1" si="385"/>
        <v>-0.41138637925979199</v>
      </c>
      <c r="E875" s="307">
        <f t="shared" ca="1" si="386"/>
        <v>-1.7924207419587095</v>
      </c>
      <c r="F875" s="304">
        <f t="shared" ca="1" si="387"/>
        <v>1.8390244341074677</v>
      </c>
      <c r="G875" s="306">
        <f t="shared" ca="1" si="388"/>
        <v>6.8451880394788338</v>
      </c>
      <c r="H875" s="307">
        <f t="shared" ca="1" si="389"/>
        <v>-133.40801732790837</v>
      </c>
      <c r="I875" s="304">
        <f t="shared" ca="1" si="390"/>
        <v>133.58351577443725</v>
      </c>
      <c r="J875" s="306">
        <f t="shared" ca="1" si="391"/>
        <v>539.267207314762</v>
      </c>
      <c r="K875" s="307">
        <f t="shared" ca="1" si="392"/>
        <v>-10.940666989776085</v>
      </c>
      <c r="L875" s="304">
        <f t="shared" ca="1" si="377"/>
        <v>539.37817816374786</v>
      </c>
      <c r="M875" s="306">
        <f t="shared" ca="1" si="393"/>
        <v>-1.5195311145350139</v>
      </c>
      <c r="N875" s="304">
        <f t="shared" ca="1" si="394"/>
        <v>-87.062719701666396</v>
      </c>
      <c r="P875" s="310">
        <f t="shared" ca="1" si="395"/>
        <v>23</v>
      </c>
      <c r="Q875" s="304">
        <f t="shared" ca="1" si="396"/>
        <v>0</v>
      </c>
      <c r="R875" s="306">
        <f t="shared" ca="1" si="397"/>
        <v>0</v>
      </c>
      <c r="S875" s="307">
        <f t="shared" ca="1" si="398"/>
        <v>6.8519999999999914</v>
      </c>
      <c r="T875" s="304">
        <f t="shared" ca="1" si="378"/>
        <v>67.218119999999914</v>
      </c>
      <c r="U875" s="311">
        <f t="shared" ca="1" si="379"/>
        <v>0</v>
      </c>
      <c r="V875" s="306">
        <f t="shared" ca="1" si="380"/>
        <v>1.226340965258965</v>
      </c>
      <c r="W875" s="304">
        <f t="shared" ca="1" si="381"/>
        <v>55.008942202136829</v>
      </c>
      <c r="Y875" s="314" t="str">
        <f t="shared" ca="1" si="399"/>
        <v/>
      </c>
      <c r="Z875" s="315" t="str">
        <f t="shared" ca="1" si="400"/>
        <v/>
      </c>
      <c r="AA875" s="316" t="str">
        <f t="shared" ca="1" si="401"/>
        <v/>
      </c>
      <c r="AC875" s="310" t="e">
        <f t="shared" ca="1" si="402"/>
        <v>#N/A</v>
      </c>
      <c r="AD875" s="323" t="e">
        <f t="shared" ca="1" si="403"/>
        <v>#N/A</v>
      </c>
      <c r="AE875" s="324" t="e">
        <f t="shared" ca="1" si="382"/>
        <v>#N/A</v>
      </c>
      <c r="AG875" s="306">
        <f t="shared" ca="1" si="404"/>
        <v>1.7689851449037128</v>
      </c>
      <c r="AH875" s="304">
        <f t="shared" ca="1" si="405"/>
        <v>-8.0281265505729547</v>
      </c>
    </row>
    <row r="876" spans="1:34" x14ac:dyDescent="0.2">
      <c r="A876" s="347">
        <f t="shared" ca="1" si="383"/>
        <v>1E-4</v>
      </c>
      <c r="B876" s="304">
        <f t="shared" ca="1" si="384"/>
        <v>39.411800000000639</v>
      </c>
      <c r="D876" s="306">
        <f t="shared" ca="1" si="385"/>
        <v>-0.4113850004967009</v>
      </c>
      <c r="E876" s="307">
        <f t="shared" ca="1" si="386"/>
        <v>-1.7923886563554383</v>
      </c>
      <c r="F876" s="304">
        <f t="shared" ca="1" si="387"/>
        <v>1.8389928531849502</v>
      </c>
      <c r="G876" s="306">
        <f t="shared" ca="1" si="388"/>
        <v>6.8451469009787838</v>
      </c>
      <c r="H876" s="307">
        <f t="shared" ca="1" si="389"/>
        <v>-133.408196566774</v>
      </c>
      <c r="I876" s="304">
        <f t="shared" ca="1" si="390"/>
        <v>133.58369266978283</v>
      </c>
      <c r="J876" s="306">
        <f t="shared" ca="1" si="391"/>
        <v>539.267207314762</v>
      </c>
      <c r="K876" s="307">
        <f t="shared" ca="1" si="392"/>
        <v>-10.954007800470819</v>
      </c>
      <c r="L876" s="304">
        <f t="shared" ca="1" si="377"/>
        <v>539.3784489316896</v>
      </c>
      <c r="M876" s="306">
        <f t="shared" ca="1" si="393"/>
        <v>-1.5195314908470214</v>
      </c>
      <c r="N876" s="304">
        <f t="shared" ca="1" si="394"/>
        <v>-87.062741262756205</v>
      </c>
      <c r="P876" s="310">
        <f t="shared" ca="1" si="395"/>
        <v>23</v>
      </c>
      <c r="Q876" s="304">
        <f t="shared" ca="1" si="396"/>
        <v>0</v>
      </c>
      <c r="R876" s="306">
        <f t="shared" ca="1" si="397"/>
        <v>0</v>
      </c>
      <c r="S876" s="307">
        <f t="shared" ca="1" si="398"/>
        <v>6.8519999999999914</v>
      </c>
      <c r="T876" s="304">
        <f t="shared" ca="1" si="378"/>
        <v>67.218119999999914</v>
      </c>
      <c r="U876" s="311">
        <f t="shared" ca="1" si="379"/>
        <v>0</v>
      </c>
      <c r="V876" s="306">
        <f t="shared" ca="1" si="380"/>
        <v>1.226342601298813</v>
      </c>
      <c r="W876" s="304">
        <f t="shared" ca="1" si="381"/>
        <v>55.00916127790839</v>
      </c>
      <c r="Y876" s="314" t="str">
        <f t="shared" ca="1" si="399"/>
        <v/>
      </c>
      <c r="Z876" s="315" t="str">
        <f t="shared" ca="1" si="400"/>
        <v/>
      </c>
      <c r="AA876" s="316" t="str">
        <f t="shared" ca="1" si="401"/>
        <v/>
      </c>
      <c r="AC876" s="310" t="e">
        <f t="shared" ca="1" si="402"/>
        <v>#N/A</v>
      </c>
      <c r="AD876" s="323" t="e">
        <f t="shared" ca="1" si="403"/>
        <v>#N/A</v>
      </c>
      <c r="AE876" s="324" t="e">
        <f t="shared" ca="1" si="382"/>
        <v>#N/A</v>
      </c>
      <c r="AG876" s="306">
        <f t="shared" ca="1" si="404"/>
        <v>1.7689533612770134</v>
      </c>
      <c r="AH876" s="304">
        <f t="shared" ca="1" si="405"/>
        <v>-8.0281585233708253</v>
      </c>
    </row>
    <row r="877" spans="1:34" x14ac:dyDescent="0.2">
      <c r="A877" s="347">
        <f t="shared" ca="1" si="383"/>
        <v>1E-4</v>
      </c>
      <c r="B877" s="304">
        <f t="shared" ca="1" si="384"/>
        <v>39.411900000000642</v>
      </c>
      <c r="D877" s="306">
        <f t="shared" ca="1" si="385"/>
        <v>-0.41138362172188708</v>
      </c>
      <c r="E877" s="307">
        <f t="shared" ca="1" si="386"/>
        <v>-1.7923565710215108</v>
      </c>
      <c r="F877" s="304">
        <f t="shared" ca="1" si="387"/>
        <v>1.8389612725408344</v>
      </c>
      <c r="G877" s="306">
        <f t="shared" ca="1" si="388"/>
        <v>6.8451057626166119</v>
      </c>
      <c r="H877" s="307">
        <f t="shared" ca="1" si="389"/>
        <v>-133.4083758024311</v>
      </c>
      <c r="I877" s="304">
        <f t="shared" ca="1" si="390"/>
        <v>133.58386956195005</v>
      </c>
      <c r="J877" s="306">
        <f t="shared" ca="1" si="391"/>
        <v>539.267207314762</v>
      </c>
      <c r="K877" s="307">
        <f t="shared" ca="1" si="392"/>
        <v>-10.96734862908928</v>
      </c>
      <c r="L877" s="304">
        <f t="shared" ca="1" si="377"/>
        <v>539.37872002982704</v>
      </c>
      <c r="M877" s="306">
        <f t="shared" ca="1" si="393"/>
        <v>-1.5195318671557707</v>
      </c>
      <c r="N877" s="304">
        <f t="shared" ca="1" si="394"/>
        <v>-87.062762823659341</v>
      </c>
      <c r="P877" s="310">
        <f t="shared" ca="1" si="395"/>
        <v>23</v>
      </c>
      <c r="Q877" s="304">
        <f t="shared" ca="1" si="396"/>
        <v>0</v>
      </c>
      <c r="R877" s="306">
        <f t="shared" ca="1" si="397"/>
        <v>0</v>
      </c>
      <c r="S877" s="307">
        <f t="shared" ca="1" si="398"/>
        <v>6.8519999999999914</v>
      </c>
      <c r="T877" s="304">
        <f t="shared" ca="1" si="378"/>
        <v>67.218119999999914</v>
      </c>
      <c r="U877" s="311">
        <f t="shared" ca="1" si="379"/>
        <v>0</v>
      </c>
      <c r="V877" s="306">
        <f t="shared" ca="1" si="380"/>
        <v>1.2263442373430427</v>
      </c>
      <c r="W877" s="304">
        <f t="shared" ca="1" si="381"/>
        <v>55.009380351840463</v>
      </c>
      <c r="Y877" s="314" t="str">
        <f t="shared" ca="1" si="399"/>
        <v/>
      </c>
      <c r="Z877" s="315" t="str">
        <f t="shared" ca="1" si="400"/>
        <v/>
      </c>
      <c r="AA877" s="316" t="str">
        <f t="shared" ca="1" si="401"/>
        <v/>
      </c>
      <c r="AC877" s="310" t="e">
        <f t="shared" ca="1" si="402"/>
        <v>#N/A</v>
      </c>
      <c r="AD877" s="323" t="e">
        <f t="shared" ca="1" si="403"/>
        <v>#N/A</v>
      </c>
      <c r="AE877" s="324" t="e">
        <f t="shared" ca="1" si="382"/>
        <v>#N/A</v>
      </c>
      <c r="AG877" s="306">
        <f t="shared" ca="1" si="404"/>
        <v>1.768921577915739</v>
      </c>
      <c r="AH877" s="304">
        <f t="shared" ca="1" si="405"/>
        <v>-8.0281904959002421</v>
      </c>
    </row>
    <row r="878" spans="1:34" x14ac:dyDescent="0.2">
      <c r="A878" s="347">
        <f t="shared" ca="1" si="383"/>
        <v>1E-4</v>
      </c>
      <c r="B878" s="304">
        <f t="shared" ca="1" si="384"/>
        <v>39.412000000000646</v>
      </c>
      <c r="D878" s="306">
        <f t="shared" ca="1" si="385"/>
        <v>-0.41138224293535075</v>
      </c>
      <c r="E878" s="307">
        <f t="shared" ca="1" si="386"/>
        <v>-1.7923244859569323</v>
      </c>
      <c r="F878" s="304">
        <f t="shared" ca="1" si="387"/>
        <v>1.8389296921751253</v>
      </c>
      <c r="G878" s="306">
        <f t="shared" ca="1" si="388"/>
        <v>6.8450646243923181</v>
      </c>
      <c r="H878" s="307">
        <f t="shared" ca="1" si="389"/>
        <v>-133.4085550348797</v>
      </c>
      <c r="I878" s="304">
        <f t="shared" ca="1" si="390"/>
        <v>133.58404645093901</v>
      </c>
      <c r="J878" s="306">
        <f t="shared" ca="1" si="391"/>
        <v>539.267207314762</v>
      </c>
      <c r="K878" s="307">
        <f t="shared" ca="1" si="392"/>
        <v>-10.980689475631145</v>
      </c>
      <c r="L878" s="304">
        <f t="shared" ca="1" si="377"/>
        <v>539.37899145816084</v>
      </c>
      <c r="M878" s="306">
        <f t="shared" ca="1" si="393"/>
        <v>-1.5195322434612619</v>
      </c>
      <c r="N878" s="304">
        <f t="shared" ca="1" si="394"/>
        <v>-87.062784384375789</v>
      </c>
      <c r="P878" s="310">
        <f t="shared" ca="1" si="395"/>
        <v>23</v>
      </c>
      <c r="Q878" s="304">
        <f t="shared" ca="1" si="396"/>
        <v>0</v>
      </c>
      <c r="R878" s="306">
        <f t="shared" ca="1" si="397"/>
        <v>0</v>
      </c>
      <c r="S878" s="307">
        <f t="shared" ca="1" si="398"/>
        <v>6.8519999999999914</v>
      </c>
      <c r="T878" s="304">
        <f t="shared" ca="1" si="378"/>
        <v>67.218119999999914</v>
      </c>
      <c r="U878" s="311">
        <f t="shared" ca="1" si="379"/>
        <v>0</v>
      </c>
      <c r="V878" s="306">
        <f t="shared" ca="1" si="380"/>
        <v>1.2263458733916541</v>
      </c>
      <c r="W878" s="304">
        <f t="shared" ca="1" si="381"/>
        <v>55.009599423933132</v>
      </c>
      <c r="Y878" s="314" t="str">
        <f t="shared" ca="1" si="399"/>
        <v/>
      </c>
      <c r="Z878" s="315" t="str">
        <f t="shared" ca="1" si="400"/>
        <v/>
      </c>
      <c r="AA878" s="316" t="str">
        <f t="shared" ca="1" si="401"/>
        <v/>
      </c>
      <c r="AC878" s="310" t="e">
        <f t="shared" ca="1" si="402"/>
        <v>#N/A</v>
      </c>
      <c r="AD878" s="323" t="e">
        <f t="shared" ca="1" si="403"/>
        <v>#N/A</v>
      </c>
      <c r="AE878" s="324" t="e">
        <f t="shared" ca="1" si="382"/>
        <v>#N/A</v>
      </c>
      <c r="AG878" s="306">
        <f t="shared" ca="1" si="404"/>
        <v>1.7688897948199056</v>
      </c>
      <c r="AH878" s="304">
        <f t="shared" ca="1" si="405"/>
        <v>-8.0282224681611982</v>
      </c>
    </row>
    <row r="879" spans="1:34" x14ac:dyDescent="0.2">
      <c r="A879" s="347">
        <f t="shared" ca="1" si="383"/>
        <v>1E-4</v>
      </c>
      <c r="B879" s="304">
        <f t="shared" ca="1" si="384"/>
        <v>39.412100000000649</v>
      </c>
      <c r="D879" s="306">
        <f t="shared" ca="1" si="385"/>
        <v>-0.41138086413709135</v>
      </c>
      <c r="E879" s="307">
        <f t="shared" ca="1" si="386"/>
        <v>-1.7922924011616921</v>
      </c>
      <c r="F879" s="304">
        <f t="shared" ca="1" si="387"/>
        <v>1.8388981120878134</v>
      </c>
      <c r="G879" s="306">
        <f t="shared" ca="1" si="388"/>
        <v>6.8450234863059043</v>
      </c>
      <c r="H879" s="307">
        <f t="shared" ca="1" si="389"/>
        <v>-133.4087342641198</v>
      </c>
      <c r="I879" s="304">
        <f t="shared" ca="1" si="390"/>
        <v>133.58422333674966</v>
      </c>
      <c r="J879" s="306">
        <f t="shared" ca="1" si="391"/>
        <v>539.267207314762</v>
      </c>
      <c r="K879" s="307">
        <f t="shared" ca="1" si="392"/>
        <v>-10.994030340096096</v>
      </c>
      <c r="L879" s="304">
        <f t="shared" ca="1" si="377"/>
        <v>539.37926321669192</v>
      </c>
      <c r="M879" s="306">
        <f t="shared" ca="1" si="393"/>
        <v>-1.5195326197634949</v>
      </c>
      <c r="N879" s="304">
        <f t="shared" ca="1" si="394"/>
        <v>-87.062805944905563</v>
      </c>
      <c r="P879" s="310">
        <f t="shared" ca="1" si="395"/>
        <v>23</v>
      </c>
      <c r="Q879" s="304">
        <f t="shared" ca="1" si="396"/>
        <v>0</v>
      </c>
      <c r="R879" s="306">
        <f t="shared" ca="1" si="397"/>
        <v>0</v>
      </c>
      <c r="S879" s="307">
        <f t="shared" ca="1" si="398"/>
        <v>6.8519999999999914</v>
      </c>
      <c r="T879" s="304">
        <f t="shared" ca="1" si="378"/>
        <v>67.218119999999914</v>
      </c>
      <c r="U879" s="311">
        <f t="shared" ca="1" si="379"/>
        <v>0</v>
      </c>
      <c r="V879" s="306">
        <f t="shared" ca="1" si="380"/>
        <v>1.2263475094446474</v>
      </c>
      <c r="W879" s="304">
        <f t="shared" ca="1" si="381"/>
        <v>55.009818494186327</v>
      </c>
      <c r="Y879" s="314" t="str">
        <f t="shared" ca="1" si="399"/>
        <v/>
      </c>
      <c r="Z879" s="315" t="str">
        <f t="shared" ca="1" si="400"/>
        <v/>
      </c>
      <c r="AA879" s="316" t="str">
        <f t="shared" ca="1" si="401"/>
        <v/>
      </c>
      <c r="AC879" s="310" t="e">
        <f t="shared" ca="1" si="402"/>
        <v>#N/A</v>
      </c>
      <c r="AD879" s="323" t="e">
        <f t="shared" ca="1" si="403"/>
        <v>#N/A</v>
      </c>
      <c r="AE879" s="324" t="e">
        <f t="shared" ca="1" si="382"/>
        <v>#N/A</v>
      </c>
      <c r="AG879" s="306">
        <f t="shared" ca="1" si="404"/>
        <v>1.7688580119894883</v>
      </c>
      <c r="AH879" s="304">
        <f t="shared" ca="1" si="405"/>
        <v>-8.0282544401537077</v>
      </c>
    </row>
    <row r="880" spans="1:34" x14ac:dyDescent="0.2">
      <c r="A880" s="347">
        <f t="shared" ca="1" si="383"/>
        <v>1E-4</v>
      </c>
      <c r="B880" s="304">
        <f t="shared" ca="1" si="384"/>
        <v>39.412200000000652</v>
      </c>
      <c r="D880" s="306">
        <f t="shared" ca="1" si="385"/>
        <v>-0.41137948532711077</v>
      </c>
      <c r="E880" s="307">
        <f t="shared" ca="1" si="386"/>
        <v>-1.7922603166358009</v>
      </c>
      <c r="F880" s="304">
        <f t="shared" ca="1" si="387"/>
        <v>1.8388665322789091</v>
      </c>
      <c r="G880" s="306">
        <f t="shared" ca="1" si="388"/>
        <v>6.8449823483573713</v>
      </c>
      <c r="H880" s="307">
        <f t="shared" ca="1" si="389"/>
        <v>-133.40891349015146</v>
      </c>
      <c r="I880" s="304">
        <f t="shared" ca="1" si="390"/>
        <v>133.58440021938205</v>
      </c>
      <c r="J880" s="306">
        <f t="shared" ca="1" si="391"/>
        <v>539.267207314762</v>
      </c>
      <c r="K880" s="307">
        <f t="shared" ca="1" si="392"/>
        <v>-11.00737122248381</v>
      </c>
      <c r="L880" s="304">
        <f t="shared" ca="1" si="377"/>
        <v>539.3795353054212</v>
      </c>
      <c r="M880" s="306">
        <f t="shared" ca="1" si="393"/>
        <v>-1.5195329960624699</v>
      </c>
      <c r="N880" s="304">
        <f t="shared" ca="1" si="394"/>
        <v>-87.062827505248663</v>
      </c>
      <c r="P880" s="310">
        <f t="shared" ca="1" si="395"/>
        <v>23</v>
      </c>
      <c r="Q880" s="304">
        <f t="shared" ca="1" si="396"/>
        <v>0</v>
      </c>
      <c r="R880" s="306">
        <f t="shared" ca="1" si="397"/>
        <v>0</v>
      </c>
      <c r="S880" s="307">
        <f t="shared" ca="1" si="398"/>
        <v>6.8519999999999914</v>
      </c>
      <c r="T880" s="304">
        <f t="shared" ca="1" si="378"/>
        <v>67.218119999999914</v>
      </c>
      <c r="U880" s="311">
        <f t="shared" ca="1" si="379"/>
        <v>0</v>
      </c>
      <c r="V880" s="306">
        <f t="shared" ca="1" si="380"/>
        <v>1.2263491455020232</v>
      </c>
      <c r="W880" s="304">
        <f t="shared" ca="1" si="381"/>
        <v>55.010037562600111</v>
      </c>
      <c r="Y880" s="314" t="str">
        <f t="shared" ca="1" si="399"/>
        <v/>
      </c>
      <c r="Z880" s="315" t="str">
        <f t="shared" ca="1" si="400"/>
        <v/>
      </c>
      <c r="AA880" s="316" t="str">
        <f t="shared" ca="1" si="401"/>
        <v/>
      </c>
      <c r="AC880" s="310" t="e">
        <f t="shared" ca="1" si="402"/>
        <v>#N/A</v>
      </c>
      <c r="AD880" s="323" t="e">
        <f t="shared" ca="1" si="403"/>
        <v>#N/A</v>
      </c>
      <c r="AE880" s="324" t="e">
        <f t="shared" ca="1" si="382"/>
        <v>#N/A</v>
      </c>
      <c r="AG880" s="306">
        <f t="shared" ca="1" si="404"/>
        <v>1.7688262294245085</v>
      </c>
      <c r="AH880" s="304">
        <f t="shared" ca="1" si="405"/>
        <v>-8.0282864118777582</v>
      </c>
    </row>
    <row r="881" spans="1:34" x14ac:dyDescent="0.2">
      <c r="A881" s="347">
        <f t="shared" ca="1" si="383"/>
        <v>1E-4</v>
      </c>
      <c r="B881" s="304">
        <f t="shared" ca="1" si="384"/>
        <v>39.412300000000656</v>
      </c>
      <c r="D881" s="306">
        <f t="shared" ca="1" si="385"/>
        <v>-0.41137810650540652</v>
      </c>
      <c r="E881" s="307">
        <f t="shared" ca="1" si="386"/>
        <v>-1.792228232379248</v>
      </c>
      <c r="F881" s="304">
        <f t="shared" ca="1" si="387"/>
        <v>1.8388349527484018</v>
      </c>
      <c r="G881" s="306">
        <f t="shared" ca="1" si="388"/>
        <v>6.8449412105467209</v>
      </c>
      <c r="H881" s="307">
        <f t="shared" ca="1" si="389"/>
        <v>-133.40909271297471</v>
      </c>
      <c r="I881" s="304">
        <f t="shared" ca="1" si="390"/>
        <v>133.58457709883623</v>
      </c>
      <c r="J881" s="306">
        <f t="shared" ca="1" si="391"/>
        <v>539.267207314762</v>
      </c>
      <c r="K881" s="307">
        <f t="shared" ca="1" si="392"/>
        <v>-11.020712122793967</v>
      </c>
      <c r="L881" s="304">
        <f t="shared" ca="1" si="377"/>
        <v>539.37980772434935</v>
      </c>
      <c r="M881" s="306">
        <f t="shared" ca="1" si="393"/>
        <v>-1.5195333723581868</v>
      </c>
      <c r="N881" s="304">
        <f t="shared" ca="1" si="394"/>
        <v>-87.062849065405089</v>
      </c>
      <c r="P881" s="310">
        <f t="shared" ca="1" si="395"/>
        <v>23</v>
      </c>
      <c r="Q881" s="304">
        <f t="shared" ca="1" si="396"/>
        <v>0</v>
      </c>
      <c r="R881" s="306">
        <f t="shared" ca="1" si="397"/>
        <v>0</v>
      </c>
      <c r="S881" s="307">
        <f t="shared" ca="1" si="398"/>
        <v>6.8519999999999914</v>
      </c>
      <c r="T881" s="304">
        <f t="shared" ca="1" si="378"/>
        <v>67.218119999999914</v>
      </c>
      <c r="U881" s="311">
        <f t="shared" ca="1" si="379"/>
        <v>0</v>
      </c>
      <c r="V881" s="306">
        <f t="shared" ca="1" si="380"/>
        <v>1.22635078156378</v>
      </c>
      <c r="W881" s="304">
        <f t="shared" ca="1" si="381"/>
        <v>55.010256629174428</v>
      </c>
      <c r="Y881" s="314" t="str">
        <f t="shared" ca="1" si="399"/>
        <v/>
      </c>
      <c r="Z881" s="315" t="str">
        <f t="shared" ca="1" si="400"/>
        <v/>
      </c>
      <c r="AA881" s="316" t="str">
        <f t="shared" ca="1" si="401"/>
        <v/>
      </c>
      <c r="AC881" s="310" t="e">
        <f t="shared" ca="1" si="402"/>
        <v>#N/A</v>
      </c>
      <c r="AD881" s="323" t="e">
        <f t="shared" ca="1" si="403"/>
        <v>#N/A</v>
      </c>
      <c r="AE881" s="324" t="e">
        <f t="shared" ca="1" si="382"/>
        <v>#N/A</v>
      </c>
      <c r="AG881" s="306">
        <f t="shared" ca="1" si="404"/>
        <v>1.7687944471249484</v>
      </c>
      <c r="AH881" s="304">
        <f t="shared" ca="1" si="405"/>
        <v>-8.0283183833333602</v>
      </c>
    </row>
    <row r="882" spans="1:34" x14ac:dyDescent="0.2">
      <c r="A882" s="347">
        <f t="shared" ca="1" si="383"/>
        <v>1E-4</v>
      </c>
      <c r="B882" s="304">
        <f t="shared" ca="1" si="384"/>
        <v>39.412400000000659</v>
      </c>
      <c r="D882" s="306">
        <f t="shared" ca="1" si="385"/>
        <v>-0.41137672767198236</v>
      </c>
      <c r="E882" s="307">
        <f t="shared" ca="1" si="386"/>
        <v>-1.7921961483920423</v>
      </c>
      <c r="F882" s="304">
        <f t="shared" ca="1" si="387"/>
        <v>1.8388033734963019</v>
      </c>
      <c r="G882" s="306">
        <f t="shared" ca="1" si="388"/>
        <v>6.844900072873954</v>
      </c>
      <c r="H882" s="307">
        <f t="shared" ca="1" si="389"/>
        <v>-133.40927193258955</v>
      </c>
      <c r="I882" s="304">
        <f t="shared" ca="1" si="390"/>
        <v>133.58475397511219</v>
      </c>
      <c r="J882" s="306">
        <f t="shared" ca="1" si="391"/>
        <v>539.267207314762</v>
      </c>
      <c r="K882" s="307">
        <f t="shared" ca="1" si="392"/>
        <v>-11.034053041026246</v>
      </c>
      <c r="L882" s="304">
        <f t="shared" ca="1" si="377"/>
        <v>539.38008047347716</v>
      </c>
      <c r="M882" s="306">
        <f t="shared" ca="1" si="393"/>
        <v>-1.5195337486506457</v>
      </c>
      <c r="N882" s="304">
        <f t="shared" ca="1" si="394"/>
        <v>-87.062870625374856</v>
      </c>
      <c r="P882" s="310">
        <f t="shared" ca="1" si="395"/>
        <v>23</v>
      </c>
      <c r="Q882" s="304">
        <f t="shared" ca="1" si="396"/>
        <v>0</v>
      </c>
      <c r="R882" s="306">
        <f t="shared" ca="1" si="397"/>
        <v>0</v>
      </c>
      <c r="S882" s="307">
        <f t="shared" ca="1" si="398"/>
        <v>6.8519999999999914</v>
      </c>
      <c r="T882" s="304">
        <f t="shared" ca="1" si="378"/>
        <v>67.218119999999914</v>
      </c>
      <c r="U882" s="311">
        <f t="shared" ca="1" si="379"/>
        <v>0</v>
      </c>
      <c r="V882" s="306">
        <f t="shared" ca="1" si="380"/>
        <v>1.2263524176299188</v>
      </c>
      <c r="W882" s="304">
        <f t="shared" ca="1" si="381"/>
        <v>55.010475693909306</v>
      </c>
      <c r="Y882" s="314" t="str">
        <f t="shared" ca="1" si="399"/>
        <v/>
      </c>
      <c r="Z882" s="315" t="str">
        <f t="shared" ca="1" si="400"/>
        <v/>
      </c>
      <c r="AA882" s="316" t="str">
        <f t="shared" ca="1" si="401"/>
        <v/>
      </c>
      <c r="AC882" s="310" t="e">
        <f t="shared" ca="1" si="402"/>
        <v>#N/A</v>
      </c>
      <c r="AD882" s="323" t="e">
        <f t="shared" ca="1" si="403"/>
        <v>#N/A</v>
      </c>
      <c r="AE882" s="324" t="e">
        <f t="shared" ca="1" si="382"/>
        <v>#N/A</v>
      </c>
      <c r="AG882" s="306">
        <f t="shared" ca="1" si="404"/>
        <v>1.7687626650908239</v>
      </c>
      <c r="AH882" s="304">
        <f t="shared" ca="1" si="405"/>
        <v>-8.0283503545205051</v>
      </c>
    </row>
    <row r="883" spans="1:34" x14ac:dyDescent="0.2">
      <c r="A883" s="347">
        <f t="shared" ca="1" si="383"/>
        <v>1E-4</v>
      </c>
      <c r="B883" s="304">
        <f t="shared" ca="1" si="384"/>
        <v>39.412500000000662</v>
      </c>
      <c r="D883" s="306">
        <f t="shared" ca="1" si="385"/>
        <v>-0.41137534882683557</v>
      </c>
      <c r="E883" s="307">
        <f t="shared" ca="1" si="386"/>
        <v>-1.7921640646741803</v>
      </c>
      <c r="F883" s="304">
        <f t="shared" ca="1" si="387"/>
        <v>1.8387717945226048</v>
      </c>
      <c r="G883" s="306">
        <f t="shared" ca="1" si="388"/>
        <v>6.8448589353390714</v>
      </c>
      <c r="H883" s="307">
        <f t="shared" ca="1" si="389"/>
        <v>-133.40945114899603</v>
      </c>
      <c r="I883" s="304">
        <f t="shared" ca="1" si="390"/>
        <v>133.58493084821001</v>
      </c>
      <c r="J883" s="306">
        <f t="shared" ca="1" si="391"/>
        <v>539.267207314762</v>
      </c>
      <c r="K883" s="307">
        <f t="shared" ca="1" si="392"/>
        <v>-11.047393977180326</v>
      </c>
      <c r="L883" s="304">
        <f t="shared" ca="1" si="377"/>
        <v>539.38035355280556</v>
      </c>
      <c r="M883" s="306">
        <f t="shared" ca="1" si="393"/>
        <v>-1.5195341249398469</v>
      </c>
      <c r="N883" s="304">
        <f t="shared" ca="1" si="394"/>
        <v>-87.062892185157949</v>
      </c>
      <c r="P883" s="310">
        <f t="shared" ca="1" si="395"/>
        <v>23</v>
      </c>
      <c r="Q883" s="304">
        <f t="shared" ca="1" si="396"/>
        <v>0</v>
      </c>
      <c r="R883" s="306">
        <f t="shared" ca="1" si="397"/>
        <v>0</v>
      </c>
      <c r="S883" s="307">
        <f t="shared" ca="1" si="398"/>
        <v>6.8519999999999914</v>
      </c>
      <c r="T883" s="304">
        <f t="shared" ca="1" si="378"/>
        <v>67.218119999999914</v>
      </c>
      <c r="U883" s="311">
        <f t="shared" ca="1" si="379"/>
        <v>0</v>
      </c>
      <c r="V883" s="306">
        <f t="shared" ca="1" si="380"/>
        <v>1.2263540537004394</v>
      </c>
      <c r="W883" s="304">
        <f t="shared" ca="1" si="381"/>
        <v>55.010694756804774</v>
      </c>
      <c r="Y883" s="314" t="str">
        <f t="shared" ca="1" si="399"/>
        <v/>
      </c>
      <c r="Z883" s="315" t="str">
        <f t="shared" ca="1" si="400"/>
        <v/>
      </c>
      <c r="AA883" s="316" t="str">
        <f t="shared" ca="1" si="401"/>
        <v/>
      </c>
      <c r="AC883" s="310" t="e">
        <f t="shared" ca="1" si="402"/>
        <v>#N/A</v>
      </c>
      <c r="AD883" s="323" t="e">
        <f t="shared" ca="1" si="403"/>
        <v>#N/A</v>
      </c>
      <c r="AE883" s="324" t="e">
        <f t="shared" ca="1" si="382"/>
        <v>#N/A</v>
      </c>
      <c r="AG883" s="306">
        <f t="shared" ca="1" si="404"/>
        <v>1.7687308833221262</v>
      </c>
      <c r="AH883" s="304">
        <f t="shared" ca="1" si="405"/>
        <v>-8.0283823254391962</v>
      </c>
    </row>
    <row r="884" spans="1:34" x14ac:dyDescent="0.2">
      <c r="A884" s="347">
        <f t="shared" ca="1" si="383"/>
        <v>1E-4</v>
      </c>
      <c r="B884" s="304">
        <f t="shared" ca="1" si="384"/>
        <v>39.412600000000666</v>
      </c>
      <c r="D884" s="306">
        <f t="shared" ca="1" si="385"/>
        <v>-0.41137396996996706</v>
      </c>
      <c r="E884" s="307">
        <f t="shared" ca="1" si="386"/>
        <v>-1.7921319812256549</v>
      </c>
      <c r="F884" s="304">
        <f t="shared" ca="1" si="387"/>
        <v>1.8387402158273045</v>
      </c>
      <c r="G884" s="306">
        <f t="shared" ca="1" si="388"/>
        <v>6.8448177979420741</v>
      </c>
      <c r="H884" s="307">
        <f t="shared" ca="1" si="389"/>
        <v>-133.40963036219415</v>
      </c>
      <c r="I884" s="304">
        <f t="shared" ca="1" si="390"/>
        <v>133.58510771812965</v>
      </c>
      <c r="J884" s="306">
        <f t="shared" ca="1" si="391"/>
        <v>539.267207314762</v>
      </c>
      <c r="K884" s="307">
        <f t="shared" ca="1" si="392"/>
        <v>-11.060734931255885</v>
      </c>
      <c r="L884" s="304">
        <f t="shared" ca="1" si="377"/>
        <v>539.38062696233533</v>
      </c>
      <c r="M884" s="306">
        <f t="shared" ca="1" si="393"/>
        <v>-1.5195345012257899</v>
      </c>
      <c r="N884" s="304">
        <f t="shared" ca="1" si="394"/>
        <v>-87.062913744754383</v>
      </c>
      <c r="P884" s="310">
        <f t="shared" ca="1" si="395"/>
        <v>23</v>
      </c>
      <c r="Q884" s="304">
        <f t="shared" ca="1" si="396"/>
        <v>0</v>
      </c>
      <c r="R884" s="306">
        <f t="shared" ca="1" si="397"/>
        <v>0</v>
      </c>
      <c r="S884" s="307">
        <f t="shared" ca="1" si="398"/>
        <v>6.8519999999999914</v>
      </c>
      <c r="T884" s="304">
        <f t="shared" ca="1" si="378"/>
        <v>67.218119999999914</v>
      </c>
      <c r="U884" s="311">
        <f t="shared" ca="1" si="379"/>
        <v>0</v>
      </c>
      <c r="V884" s="306">
        <f t="shared" ca="1" si="380"/>
        <v>1.2263556897753416</v>
      </c>
      <c r="W884" s="304">
        <f t="shared" ca="1" si="381"/>
        <v>55.010913817860782</v>
      </c>
      <c r="Y884" s="314" t="str">
        <f t="shared" ca="1" si="399"/>
        <v/>
      </c>
      <c r="Z884" s="315" t="str">
        <f t="shared" ca="1" si="400"/>
        <v/>
      </c>
      <c r="AA884" s="316" t="str">
        <f t="shared" ca="1" si="401"/>
        <v/>
      </c>
      <c r="AC884" s="310" t="e">
        <f t="shared" ca="1" si="402"/>
        <v>#N/A</v>
      </c>
      <c r="AD884" s="323" t="e">
        <f t="shared" ca="1" si="403"/>
        <v>#N/A</v>
      </c>
      <c r="AE884" s="324" t="e">
        <f t="shared" ca="1" si="382"/>
        <v>#N/A</v>
      </c>
      <c r="AG884" s="306">
        <f t="shared" ca="1" si="404"/>
        <v>1.7686991018188518</v>
      </c>
      <c r="AH884" s="304">
        <f t="shared" ca="1" si="405"/>
        <v>-8.0284142960894407</v>
      </c>
    </row>
    <row r="885" spans="1:34" x14ac:dyDescent="0.2">
      <c r="A885" s="347">
        <f t="shared" ca="1" si="383"/>
        <v>1E-4</v>
      </c>
      <c r="B885" s="304">
        <f t="shared" ca="1" si="384"/>
        <v>39.412700000000669</v>
      </c>
      <c r="D885" s="306">
        <f t="shared" ca="1" si="385"/>
        <v>-0.41137259110137875</v>
      </c>
      <c r="E885" s="307">
        <f t="shared" ca="1" si="386"/>
        <v>-1.7920998980464766</v>
      </c>
      <c r="F885" s="304">
        <f t="shared" ca="1" si="387"/>
        <v>1.838708637410412</v>
      </c>
      <c r="G885" s="306">
        <f t="shared" ca="1" si="388"/>
        <v>6.8447766606829639</v>
      </c>
      <c r="H885" s="307">
        <f t="shared" ca="1" si="389"/>
        <v>-133.40980957218395</v>
      </c>
      <c r="I885" s="304">
        <f t="shared" ca="1" si="390"/>
        <v>133.58528458487115</v>
      </c>
      <c r="J885" s="306">
        <f t="shared" ca="1" si="391"/>
        <v>539.267207314762</v>
      </c>
      <c r="K885" s="307">
        <f t="shared" ca="1" si="392"/>
        <v>-11.074075903252604</v>
      </c>
      <c r="L885" s="304">
        <f t="shared" ca="1" si="377"/>
        <v>539.38090070206738</v>
      </c>
      <c r="M885" s="306">
        <f t="shared" ca="1" si="393"/>
        <v>-1.5195348775084749</v>
      </c>
      <c r="N885" s="304">
        <f t="shared" ca="1" si="394"/>
        <v>-87.062935304164128</v>
      </c>
      <c r="P885" s="310">
        <f t="shared" ca="1" si="395"/>
        <v>23</v>
      </c>
      <c r="Q885" s="304">
        <f t="shared" ca="1" si="396"/>
        <v>0</v>
      </c>
      <c r="R885" s="306">
        <f t="shared" ca="1" si="397"/>
        <v>0</v>
      </c>
      <c r="S885" s="307">
        <f t="shared" ca="1" si="398"/>
        <v>6.8519999999999914</v>
      </c>
      <c r="T885" s="304">
        <f t="shared" ca="1" si="378"/>
        <v>67.218119999999914</v>
      </c>
      <c r="U885" s="311">
        <f t="shared" ca="1" si="379"/>
        <v>0</v>
      </c>
      <c r="V885" s="306">
        <f t="shared" ca="1" si="380"/>
        <v>1.2263573258546254</v>
      </c>
      <c r="W885" s="304">
        <f t="shared" ca="1" si="381"/>
        <v>55.01113287707733</v>
      </c>
      <c r="Y885" s="314" t="str">
        <f t="shared" ca="1" si="399"/>
        <v/>
      </c>
      <c r="Z885" s="315" t="str">
        <f t="shared" ca="1" si="400"/>
        <v/>
      </c>
      <c r="AA885" s="316" t="str">
        <f t="shared" ca="1" si="401"/>
        <v/>
      </c>
      <c r="AC885" s="310" t="e">
        <f t="shared" ca="1" si="402"/>
        <v>#N/A</v>
      </c>
      <c r="AD885" s="323" t="e">
        <f t="shared" ca="1" si="403"/>
        <v>#N/A</v>
      </c>
      <c r="AE885" s="324" t="e">
        <f t="shared" ca="1" si="382"/>
        <v>#N/A</v>
      </c>
      <c r="AG885" s="306">
        <f t="shared" ca="1" si="404"/>
        <v>1.7686673205810077</v>
      </c>
      <c r="AH885" s="304">
        <f t="shared" ca="1" si="405"/>
        <v>-8.0284462664712279</v>
      </c>
    </row>
    <row r="886" spans="1:34" x14ac:dyDescent="0.2">
      <c r="A886" s="347">
        <f t="shared" ca="1" si="383"/>
        <v>1E-4</v>
      </c>
      <c r="B886" s="304">
        <f t="shared" ca="1" si="384"/>
        <v>39.412800000000672</v>
      </c>
      <c r="D886" s="306">
        <f t="shared" ca="1" si="385"/>
        <v>-0.4113712122210712</v>
      </c>
      <c r="E886" s="307">
        <f t="shared" ca="1" si="386"/>
        <v>-1.7920678151366438</v>
      </c>
      <c r="F886" s="304">
        <f t="shared" ca="1" si="387"/>
        <v>1.8386770592719262</v>
      </c>
      <c r="G886" s="306">
        <f t="shared" ca="1" si="388"/>
        <v>6.8447355235617415</v>
      </c>
      <c r="H886" s="307">
        <f t="shared" ca="1" si="389"/>
        <v>-133.40998877896547</v>
      </c>
      <c r="I886" s="304">
        <f t="shared" ca="1" si="390"/>
        <v>133.58546144843459</v>
      </c>
      <c r="J886" s="306">
        <f t="shared" ca="1" si="391"/>
        <v>539.267207314762</v>
      </c>
      <c r="K886" s="307">
        <f t="shared" ca="1" si="392"/>
        <v>-11.087416893170161</v>
      </c>
      <c r="L886" s="304">
        <f t="shared" ca="1" si="377"/>
        <v>539.3811747720024</v>
      </c>
      <c r="M886" s="306">
        <f t="shared" ca="1" si="393"/>
        <v>-1.5195352537879023</v>
      </c>
      <c r="N886" s="304">
        <f t="shared" ca="1" si="394"/>
        <v>-87.062956863387242</v>
      </c>
      <c r="P886" s="310">
        <f t="shared" ca="1" si="395"/>
        <v>23</v>
      </c>
      <c r="Q886" s="304">
        <f t="shared" ca="1" si="396"/>
        <v>0</v>
      </c>
      <c r="R886" s="306">
        <f t="shared" ca="1" si="397"/>
        <v>0</v>
      </c>
      <c r="S886" s="307">
        <f t="shared" ca="1" si="398"/>
        <v>6.8519999999999914</v>
      </c>
      <c r="T886" s="304">
        <f t="shared" ca="1" si="378"/>
        <v>67.218119999999914</v>
      </c>
      <c r="U886" s="311">
        <f t="shared" ca="1" si="379"/>
        <v>0</v>
      </c>
      <c r="V886" s="306">
        <f t="shared" ca="1" si="380"/>
        <v>1.2263589619382911</v>
      </c>
      <c r="W886" s="304">
        <f t="shared" ca="1" si="381"/>
        <v>55.011351934454495</v>
      </c>
      <c r="Y886" s="314" t="str">
        <f t="shared" ca="1" si="399"/>
        <v/>
      </c>
      <c r="Z886" s="315" t="str">
        <f t="shared" ca="1" si="400"/>
        <v/>
      </c>
      <c r="AA886" s="316" t="str">
        <f t="shared" ca="1" si="401"/>
        <v/>
      </c>
      <c r="AC886" s="310" t="e">
        <f t="shared" ca="1" si="402"/>
        <v>#N/A</v>
      </c>
      <c r="AD886" s="323" t="e">
        <f t="shared" ca="1" si="403"/>
        <v>#N/A</v>
      </c>
      <c r="AE886" s="324" t="e">
        <f t="shared" ca="1" si="382"/>
        <v>#N/A</v>
      </c>
      <c r="AG886" s="306">
        <f t="shared" ca="1" si="404"/>
        <v>1.7686355396085975</v>
      </c>
      <c r="AH886" s="304">
        <f t="shared" ca="1" si="405"/>
        <v>-8.0284782365845597</v>
      </c>
    </row>
    <row r="887" spans="1:34" x14ac:dyDescent="0.2">
      <c r="A887" s="347">
        <f t="shared" ca="1" si="383"/>
        <v>1E-4</v>
      </c>
      <c r="B887" s="304">
        <f t="shared" ca="1" si="384"/>
        <v>39.412900000000676</v>
      </c>
      <c r="D887" s="306">
        <f t="shared" ca="1" si="385"/>
        <v>-0.4113698333290422</v>
      </c>
      <c r="E887" s="307">
        <f t="shared" ca="1" si="386"/>
        <v>-1.7920357324961458</v>
      </c>
      <c r="F887" s="304">
        <f t="shared" ca="1" si="387"/>
        <v>1.838645481411836</v>
      </c>
      <c r="G887" s="306">
        <f t="shared" ca="1" si="388"/>
        <v>6.8446943865784089</v>
      </c>
      <c r="H887" s="307">
        <f t="shared" ca="1" si="389"/>
        <v>-133.41016798253872</v>
      </c>
      <c r="I887" s="304">
        <f t="shared" ca="1" si="390"/>
        <v>133.58563830881991</v>
      </c>
      <c r="J887" s="306">
        <f t="shared" ca="1" si="391"/>
        <v>539.267207314762</v>
      </c>
      <c r="K887" s="307">
        <f t="shared" ca="1" si="392"/>
        <v>-11.100757901008237</v>
      </c>
      <c r="L887" s="304">
        <f t="shared" ca="1" si="377"/>
        <v>539.3814491721414</v>
      </c>
      <c r="M887" s="306">
        <f t="shared" ca="1" si="393"/>
        <v>-1.5195356300640719</v>
      </c>
      <c r="N887" s="304">
        <f t="shared" ca="1" si="394"/>
        <v>-87.062978422423683</v>
      </c>
      <c r="P887" s="310">
        <f t="shared" ca="1" si="395"/>
        <v>23</v>
      </c>
      <c r="Q887" s="304">
        <f t="shared" ca="1" si="396"/>
        <v>0</v>
      </c>
      <c r="R887" s="306">
        <f t="shared" ca="1" si="397"/>
        <v>0</v>
      </c>
      <c r="S887" s="307">
        <f t="shared" ca="1" si="398"/>
        <v>6.8519999999999914</v>
      </c>
      <c r="T887" s="304">
        <f t="shared" ca="1" si="378"/>
        <v>67.218119999999914</v>
      </c>
      <c r="U887" s="311">
        <f t="shared" ca="1" si="379"/>
        <v>0</v>
      </c>
      <c r="V887" s="306">
        <f t="shared" ca="1" si="380"/>
        <v>1.2263605980263381</v>
      </c>
      <c r="W887" s="304">
        <f t="shared" ca="1" si="381"/>
        <v>55.01157098999218</v>
      </c>
      <c r="Y887" s="314" t="str">
        <f t="shared" ca="1" si="399"/>
        <v/>
      </c>
      <c r="Z887" s="315" t="str">
        <f t="shared" ca="1" si="400"/>
        <v/>
      </c>
      <c r="AA887" s="316" t="str">
        <f t="shared" ca="1" si="401"/>
        <v/>
      </c>
      <c r="AC887" s="310" t="e">
        <f t="shared" ca="1" si="402"/>
        <v>#N/A</v>
      </c>
      <c r="AD887" s="323" t="e">
        <f t="shared" ca="1" si="403"/>
        <v>#N/A</v>
      </c>
      <c r="AE887" s="324" t="e">
        <f t="shared" ca="1" si="382"/>
        <v>#N/A</v>
      </c>
      <c r="AG887" s="306">
        <f t="shared" ca="1" si="404"/>
        <v>1.7686037589016035</v>
      </c>
      <c r="AH887" s="304">
        <f t="shared" ca="1" si="405"/>
        <v>-8.0285102064294467</v>
      </c>
    </row>
    <row r="888" spans="1:34" x14ac:dyDescent="0.2">
      <c r="A888" s="347">
        <f t="shared" ca="1" si="383"/>
        <v>1E-4</v>
      </c>
      <c r="B888" s="304">
        <f t="shared" ca="1" si="384"/>
        <v>39.413000000000679</v>
      </c>
      <c r="D888" s="306">
        <f t="shared" ca="1" si="385"/>
        <v>-0.4113684544252933</v>
      </c>
      <c r="E888" s="307">
        <f t="shared" ca="1" si="386"/>
        <v>-1.7920036501249967</v>
      </c>
      <c r="F888" s="304">
        <f t="shared" ca="1" si="387"/>
        <v>1.8386139038301561</v>
      </c>
      <c r="G888" s="306">
        <f t="shared" ca="1" si="388"/>
        <v>6.844653249732966</v>
      </c>
      <c r="H888" s="307">
        <f t="shared" ca="1" si="389"/>
        <v>-133.41034718290373</v>
      </c>
      <c r="I888" s="304">
        <f t="shared" ca="1" si="390"/>
        <v>133.58581516602723</v>
      </c>
      <c r="J888" s="306">
        <f t="shared" ca="1" si="391"/>
        <v>539.267207314762</v>
      </c>
      <c r="K888" s="307">
        <f t="shared" ca="1" si="392"/>
        <v>-11.114098926766509</v>
      </c>
      <c r="L888" s="304">
        <f t="shared" ca="1" si="377"/>
        <v>539.38172390248496</v>
      </c>
      <c r="M888" s="306">
        <f t="shared" ca="1" si="393"/>
        <v>-1.5195360063369838</v>
      </c>
      <c r="N888" s="304">
        <f t="shared" ca="1" si="394"/>
        <v>-87.062999981273492</v>
      </c>
      <c r="P888" s="310">
        <f t="shared" ca="1" si="395"/>
        <v>23</v>
      </c>
      <c r="Q888" s="304">
        <f t="shared" ca="1" si="396"/>
        <v>0</v>
      </c>
      <c r="R888" s="306">
        <f t="shared" ca="1" si="397"/>
        <v>0</v>
      </c>
      <c r="S888" s="307">
        <f t="shared" ca="1" si="398"/>
        <v>6.8519999999999914</v>
      </c>
      <c r="T888" s="304">
        <f t="shared" ca="1" si="378"/>
        <v>67.218119999999914</v>
      </c>
      <c r="U888" s="311">
        <f t="shared" ca="1" si="379"/>
        <v>0</v>
      </c>
      <c r="V888" s="306">
        <f t="shared" ca="1" si="380"/>
        <v>1.2263622341187668</v>
      </c>
      <c r="W888" s="304">
        <f t="shared" ca="1" si="381"/>
        <v>55.011790043690482</v>
      </c>
      <c r="Y888" s="314" t="str">
        <f t="shared" ca="1" si="399"/>
        <v/>
      </c>
      <c r="Z888" s="315" t="str">
        <f t="shared" ca="1" si="400"/>
        <v/>
      </c>
      <c r="AA888" s="316" t="str">
        <f t="shared" ca="1" si="401"/>
        <v/>
      </c>
      <c r="AC888" s="310" t="e">
        <f t="shared" ca="1" si="402"/>
        <v>#N/A</v>
      </c>
      <c r="AD888" s="323" t="e">
        <f t="shared" ca="1" si="403"/>
        <v>#N/A</v>
      </c>
      <c r="AE888" s="324" t="e">
        <f t="shared" ca="1" si="382"/>
        <v>#N/A</v>
      </c>
      <c r="AG888" s="306">
        <f t="shared" ca="1" si="404"/>
        <v>1.7685719784600469</v>
      </c>
      <c r="AH888" s="304">
        <f t="shared" ca="1" si="405"/>
        <v>-8.0285421760058746</v>
      </c>
    </row>
    <row r="889" spans="1:34" x14ac:dyDescent="0.2">
      <c r="A889" s="347">
        <f t="shared" ca="1" si="383"/>
        <v>1E-4</v>
      </c>
      <c r="B889" s="304">
        <f t="shared" ca="1" si="384"/>
        <v>39.413100000000682</v>
      </c>
      <c r="D889" s="306">
        <f t="shared" ca="1" si="385"/>
        <v>-0.41136707550982415</v>
      </c>
      <c r="E889" s="307">
        <f t="shared" ca="1" si="386"/>
        <v>-1.7919715680231825</v>
      </c>
      <c r="F889" s="304">
        <f t="shared" ca="1" si="387"/>
        <v>1.8385823265268728</v>
      </c>
      <c r="G889" s="306">
        <f t="shared" ca="1" si="388"/>
        <v>6.8446121130254154</v>
      </c>
      <c r="H889" s="307">
        <f t="shared" ca="1" si="389"/>
        <v>-133.41052638006053</v>
      </c>
      <c r="I889" s="304">
        <f t="shared" ca="1" si="390"/>
        <v>133.58599202005652</v>
      </c>
      <c r="J889" s="306">
        <f t="shared" ca="1" si="391"/>
        <v>539.267207314762</v>
      </c>
      <c r="K889" s="307">
        <f t="shared" ca="1" si="392"/>
        <v>-11.127439970444657</v>
      </c>
      <c r="L889" s="304">
        <f t="shared" ca="1" si="377"/>
        <v>539.38199896303399</v>
      </c>
      <c r="M889" s="306">
        <f t="shared" ca="1" si="393"/>
        <v>-1.5195363826066379</v>
      </c>
      <c r="N889" s="304">
        <f t="shared" ca="1" si="394"/>
        <v>-87.063021539936628</v>
      </c>
      <c r="P889" s="310">
        <f t="shared" ca="1" si="395"/>
        <v>23</v>
      </c>
      <c r="Q889" s="304">
        <f t="shared" ca="1" si="396"/>
        <v>0</v>
      </c>
      <c r="R889" s="306">
        <f t="shared" ca="1" si="397"/>
        <v>0</v>
      </c>
      <c r="S889" s="307">
        <f t="shared" ca="1" si="398"/>
        <v>6.8519999999999914</v>
      </c>
      <c r="T889" s="304">
        <f t="shared" ca="1" si="378"/>
        <v>67.218119999999914</v>
      </c>
      <c r="U889" s="311">
        <f t="shared" ca="1" si="379"/>
        <v>0</v>
      </c>
      <c r="V889" s="306">
        <f t="shared" ca="1" si="380"/>
        <v>1.2263638702155772</v>
      </c>
      <c r="W889" s="304">
        <f t="shared" ca="1" si="381"/>
        <v>55.012009095549345</v>
      </c>
      <c r="Y889" s="314" t="str">
        <f t="shared" ca="1" si="399"/>
        <v/>
      </c>
      <c r="Z889" s="315" t="str">
        <f t="shared" ca="1" si="400"/>
        <v/>
      </c>
      <c r="AA889" s="316" t="str">
        <f t="shared" ca="1" si="401"/>
        <v/>
      </c>
      <c r="AC889" s="310" t="e">
        <f t="shared" ca="1" si="402"/>
        <v>#N/A</v>
      </c>
      <c r="AD889" s="323" t="e">
        <f t="shared" ca="1" si="403"/>
        <v>#N/A</v>
      </c>
      <c r="AE889" s="324" t="e">
        <f t="shared" ca="1" si="382"/>
        <v>#N/A</v>
      </c>
      <c r="AG889" s="306">
        <f t="shared" ca="1" si="404"/>
        <v>1.76854019828391</v>
      </c>
      <c r="AH889" s="304">
        <f t="shared" ca="1" si="405"/>
        <v>-8.0285741453138577</v>
      </c>
    </row>
    <row r="890" spans="1:34" x14ac:dyDescent="0.2">
      <c r="A890" s="347">
        <f t="shared" ca="1" si="383"/>
        <v>1E-4</v>
      </c>
      <c r="B890" s="304">
        <f t="shared" ca="1" si="384"/>
        <v>39.413200000000685</v>
      </c>
      <c r="D890" s="306">
        <f t="shared" ca="1" si="385"/>
        <v>-0.41136569658263661</v>
      </c>
      <c r="E890" s="307">
        <f t="shared" ca="1" si="386"/>
        <v>-1.7919394861907119</v>
      </c>
      <c r="F890" s="304">
        <f t="shared" ca="1" si="387"/>
        <v>1.8385507495019957</v>
      </c>
      <c r="G890" s="306">
        <f t="shared" ca="1" si="388"/>
        <v>6.8445709764557572</v>
      </c>
      <c r="H890" s="307">
        <f t="shared" ca="1" si="389"/>
        <v>-133.41070557400914</v>
      </c>
      <c r="I890" s="304">
        <f t="shared" ca="1" si="390"/>
        <v>133.58616887090778</v>
      </c>
      <c r="J890" s="306">
        <f t="shared" ca="1" si="391"/>
        <v>539.267207314762</v>
      </c>
      <c r="K890" s="307">
        <f t="shared" ca="1" si="392"/>
        <v>-11.14078103204236</v>
      </c>
      <c r="L890" s="304">
        <f t="shared" ca="1" si="377"/>
        <v>539.38227435378928</v>
      </c>
      <c r="M890" s="306">
        <f t="shared" ca="1" si="393"/>
        <v>-1.5195367588730344</v>
      </c>
      <c r="N890" s="304">
        <f t="shared" ca="1" si="394"/>
        <v>-87.063043098413118</v>
      </c>
      <c r="P890" s="310">
        <f t="shared" ca="1" si="395"/>
        <v>23</v>
      </c>
      <c r="Q890" s="304">
        <f t="shared" ca="1" si="396"/>
        <v>0</v>
      </c>
      <c r="R890" s="306">
        <f t="shared" ca="1" si="397"/>
        <v>0</v>
      </c>
      <c r="S890" s="307">
        <f t="shared" ca="1" si="398"/>
        <v>6.8519999999999914</v>
      </c>
      <c r="T890" s="304">
        <f t="shared" ca="1" si="378"/>
        <v>67.218119999999914</v>
      </c>
      <c r="U890" s="311">
        <f t="shared" ca="1" si="379"/>
        <v>0</v>
      </c>
      <c r="V890" s="306">
        <f t="shared" ca="1" si="380"/>
        <v>1.2263655063167689</v>
      </c>
      <c r="W890" s="304">
        <f t="shared" ca="1" si="381"/>
        <v>55.012228145568734</v>
      </c>
      <c r="Y890" s="314" t="str">
        <f t="shared" ca="1" si="399"/>
        <v/>
      </c>
      <c r="Z890" s="315" t="str">
        <f t="shared" ca="1" si="400"/>
        <v/>
      </c>
      <c r="AA890" s="316" t="str">
        <f t="shared" ca="1" si="401"/>
        <v/>
      </c>
      <c r="AC890" s="310" t="e">
        <f t="shared" ca="1" si="402"/>
        <v>#N/A</v>
      </c>
      <c r="AD890" s="323" t="e">
        <f t="shared" ca="1" si="403"/>
        <v>#N/A</v>
      </c>
      <c r="AE890" s="324" t="e">
        <f t="shared" ca="1" si="382"/>
        <v>#N/A</v>
      </c>
      <c r="AG890" s="306">
        <f t="shared" ca="1" si="404"/>
        <v>1.7685084183732034</v>
      </c>
      <c r="AH890" s="304">
        <f t="shared" ca="1" si="405"/>
        <v>-8.0286061143533871</v>
      </c>
    </row>
    <row r="891" spans="1:34" x14ac:dyDescent="0.2">
      <c r="A891" s="347">
        <f t="shared" ca="1" si="383"/>
        <v>1E-4</v>
      </c>
      <c r="B891" s="304">
        <f t="shared" ca="1" si="384"/>
        <v>39.413300000000689</v>
      </c>
      <c r="D891" s="306">
        <f t="shared" ca="1" si="385"/>
        <v>-0.41136431764372944</v>
      </c>
      <c r="E891" s="307">
        <f t="shared" ca="1" si="386"/>
        <v>-1.7919074046275867</v>
      </c>
      <c r="F891" s="304">
        <f t="shared" ca="1" si="387"/>
        <v>1.8385191727555263</v>
      </c>
      <c r="G891" s="306">
        <f t="shared" ca="1" si="388"/>
        <v>6.8445298400239931</v>
      </c>
      <c r="H891" s="307">
        <f t="shared" ca="1" si="389"/>
        <v>-133.4108847647496</v>
      </c>
      <c r="I891" s="304">
        <f t="shared" ca="1" si="390"/>
        <v>133.5863457185811</v>
      </c>
      <c r="J891" s="306">
        <f t="shared" ca="1" si="391"/>
        <v>539.267207314762</v>
      </c>
      <c r="K891" s="307">
        <f t="shared" ca="1" si="392"/>
        <v>-11.154122111559298</v>
      </c>
      <c r="L891" s="304">
        <f t="shared" ca="1" si="377"/>
        <v>539.38255007475175</v>
      </c>
      <c r="M891" s="306">
        <f t="shared" ca="1" si="393"/>
        <v>-1.5195371351361731</v>
      </c>
      <c r="N891" s="304">
        <f t="shared" ca="1" si="394"/>
        <v>-87.063064656702949</v>
      </c>
      <c r="P891" s="310">
        <f t="shared" ca="1" si="395"/>
        <v>23</v>
      </c>
      <c r="Q891" s="304">
        <f t="shared" ca="1" si="396"/>
        <v>0</v>
      </c>
      <c r="R891" s="306">
        <f t="shared" ca="1" si="397"/>
        <v>0</v>
      </c>
      <c r="S891" s="307">
        <f t="shared" ca="1" si="398"/>
        <v>6.8519999999999914</v>
      </c>
      <c r="T891" s="304">
        <f t="shared" ca="1" si="378"/>
        <v>67.218119999999914</v>
      </c>
      <c r="U891" s="311">
        <f t="shared" ca="1" si="379"/>
        <v>0</v>
      </c>
      <c r="V891" s="306">
        <f t="shared" ca="1" si="380"/>
        <v>1.2263671424223421</v>
      </c>
      <c r="W891" s="304">
        <f t="shared" ca="1" si="381"/>
        <v>55.012447193748734</v>
      </c>
      <c r="Y891" s="314" t="str">
        <f t="shared" ca="1" si="399"/>
        <v/>
      </c>
      <c r="Z891" s="315" t="str">
        <f t="shared" ca="1" si="400"/>
        <v/>
      </c>
      <c r="AA891" s="316" t="str">
        <f t="shared" ca="1" si="401"/>
        <v/>
      </c>
      <c r="AC891" s="310" t="e">
        <f t="shared" ca="1" si="402"/>
        <v>#N/A</v>
      </c>
      <c r="AD891" s="323" t="e">
        <f t="shared" ca="1" si="403"/>
        <v>#N/A</v>
      </c>
      <c r="AE891" s="324" t="e">
        <f t="shared" ca="1" si="382"/>
        <v>#N/A</v>
      </c>
      <c r="AG891" s="306">
        <f t="shared" ca="1" si="404"/>
        <v>1.7684766387279236</v>
      </c>
      <c r="AH891" s="304">
        <f t="shared" ca="1" si="405"/>
        <v>-8.028638083124461</v>
      </c>
    </row>
    <row r="892" spans="1:34" x14ac:dyDescent="0.2">
      <c r="A892" s="347">
        <f t="shared" ca="1" si="383"/>
        <v>1E-4</v>
      </c>
      <c r="B892" s="304">
        <f t="shared" ca="1" si="384"/>
        <v>39.413400000000692</v>
      </c>
      <c r="D892" s="306">
        <f t="shared" ca="1" si="385"/>
        <v>-0.41136293869310542</v>
      </c>
      <c r="E892" s="307">
        <f t="shared" ca="1" si="386"/>
        <v>-1.7918753233337998</v>
      </c>
      <c r="F892" s="304">
        <f t="shared" ca="1" si="387"/>
        <v>1.8384875962874585</v>
      </c>
      <c r="G892" s="306">
        <f t="shared" ca="1" si="388"/>
        <v>6.8444887037301241</v>
      </c>
      <c r="H892" s="307">
        <f t="shared" ca="1" si="389"/>
        <v>-133.41106395228192</v>
      </c>
      <c r="I892" s="304">
        <f t="shared" ca="1" si="390"/>
        <v>133.5865225630765</v>
      </c>
      <c r="J892" s="306">
        <f t="shared" ca="1" si="391"/>
        <v>539.267207314762</v>
      </c>
      <c r="K892" s="307">
        <f t="shared" ca="1" si="392"/>
        <v>-11.16746320899515</v>
      </c>
      <c r="L892" s="304">
        <f t="shared" ca="1" si="377"/>
        <v>539.38282612592218</v>
      </c>
      <c r="M892" s="306">
        <f t="shared" ca="1" si="393"/>
        <v>-1.5195375113960543</v>
      </c>
      <c r="N892" s="304">
        <f t="shared" ca="1" si="394"/>
        <v>-87.063086214806148</v>
      </c>
      <c r="P892" s="310">
        <f t="shared" ca="1" si="395"/>
        <v>23</v>
      </c>
      <c r="Q892" s="304">
        <f t="shared" ca="1" si="396"/>
        <v>0</v>
      </c>
      <c r="R892" s="306">
        <f t="shared" ca="1" si="397"/>
        <v>0</v>
      </c>
      <c r="S892" s="307">
        <f t="shared" ca="1" si="398"/>
        <v>6.8519999999999914</v>
      </c>
      <c r="T892" s="304">
        <f t="shared" ca="1" si="378"/>
        <v>67.218119999999914</v>
      </c>
      <c r="U892" s="311">
        <f t="shared" ca="1" si="379"/>
        <v>0</v>
      </c>
      <c r="V892" s="306">
        <f t="shared" ca="1" si="380"/>
        <v>1.2263687785322972</v>
      </c>
      <c r="W892" s="304">
        <f t="shared" ca="1" si="381"/>
        <v>55.012666240089338</v>
      </c>
      <c r="Y892" s="314" t="str">
        <f t="shared" ca="1" si="399"/>
        <v/>
      </c>
      <c r="Z892" s="315" t="str">
        <f t="shared" ca="1" si="400"/>
        <v/>
      </c>
      <c r="AA892" s="316" t="str">
        <f t="shared" ca="1" si="401"/>
        <v/>
      </c>
      <c r="AC892" s="310" t="e">
        <f t="shared" ca="1" si="402"/>
        <v>#N/A</v>
      </c>
      <c r="AD892" s="323" t="e">
        <f t="shared" ca="1" si="403"/>
        <v>#N/A</v>
      </c>
      <c r="AE892" s="324" t="e">
        <f t="shared" ca="1" si="382"/>
        <v>#N/A</v>
      </c>
      <c r="AG892" s="306">
        <f t="shared" ca="1" si="404"/>
        <v>1.7684448593480706</v>
      </c>
      <c r="AH892" s="304">
        <f t="shared" ca="1" si="405"/>
        <v>-8.0286700516270866</v>
      </c>
    </row>
    <row r="893" spans="1:34" x14ac:dyDescent="0.2">
      <c r="A893" s="347">
        <f t="shared" ca="1" si="383"/>
        <v>1E-4</v>
      </c>
      <c r="B893" s="304">
        <f t="shared" ca="1" si="384"/>
        <v>39.413500000000695</v>
      </c>
      <c r="D893" s="306">
        <f t="shared" ca="1" si="385"/>
        <v>-0.41136155973076177</v>
      </c>
      <c r="E893" s="307">
        <f t="shared" ca="1" si="386"/>
        <v>-1.7918432423093495</v>
      </c>
      <c r="F893" s="304">
        <f t="shared" ca="1" si="387"/>
        <v>1.8384560200977904</v>
      </c>
      <c r="G893" s="306">
        <f t="shared" ca="1" si="388"/>
        <v>6.844447567574151</v>
      </c>
      <c r="H893" s="307">
        <f t="shared" ca="1" si="389"/>
        <v>-133.41124313660615</v>
      </c>
      <c r="I893" s="304">
        <f t="shared" ca="1" si="390"/>
        <v>133.58669940439398</v>
      </c>
      <c r="J893" s="306">
        <f t="shared" ca="1" si="391"/>
        <v>539.267207314762</v>
      </c>
      <c r="K893" s="307">
        <f t="shared" ca="1" si="392"/>
        <v>-11.180804324349594</v>
      </c>
      <c r="L893" s="304">
        <f t="shared" ca="1" si="377"/>
        <v>539.38310250730126</v>
      </c>
      <c r="M893" s="306">
        <f t="shared" ca="1" si="393"/>
        <v>-1.5195378876526782</v>
      </c>
      <c r="N893" s="304">
        <f t="shared" ca="1" si="394"/>
        <v>-87.063107772722702</v>
      </c>
      <c r="P893" s="310">
        <f t="shared" ca="1" si="395"/>
        <v>23</v>
      </c>
      <c r="Q893" s="304">
        <f t="shared" ca="1" si="396"/>
        <v>0</v>
      </c>
      <c r="R893" s="306">
        <f t="shared" ca="1" si="397"/>
        <v>0</v>
      </c>
      <c r="S893" s="307">
        <f t="shared" ca="1" si="398"/>
        <v>6.8519999999999914</v>
      </c>
      <c r="T893" s="304">
        <f t="shared" ca="1" si="378"/>
        <v>67.218119999999914</v>
      </c>
      <c r="U893" s="311">
        <f t="shared" ca="1" si="379"/>
        <v>0</v>
      </c>
      <c r="V893" s="306">
        <f t="shared" ca="1" si="380"/>
        <v>1.2263704146466334</v>
      </c>
      <c r="W893" s="304">
        <f t="shared" ca="1" si="381"/>
        <v>55.012885284590503</v>
      </c>
      <c r="Y893" s="314" t="str">
        <f t="shared" ca="1" si="399"/>
        <v/>
      </c>
      <c r="Z893" s="315" t="str">
        <f t="shared" ca="1" si="400"/>
        <v/>
      </c>
      <c r="AA893" s="316" t="str">
        <f t="shared" ca="1" si="401"/>
        <v/>
      </c>
      <c r="AC893" s="310" t="e">
        <f t="shared" ca="1" si="402"/>
        <v>#N/A</v>
      </c>
      <c r="AD893" s="323" t="e">
        <f t="shared" ca="1" si="403"/>
        <v>#N/A</v>
      </c>
      <c r="AE893" s="324" t="e">
        <f t="shared" ca="1" si="382"/>
        <v>#N/A</v>
      </c>
      <c r="AG893" s="306">
        <f t="shared" ca="1" si="404"/>
        <v>1.7684130802336391</v>
      </c>
      <c r="AH893" s="304">
        <f t="shared" ca="1" si="405"/>
        <v>-8.0287020198612673</v>
      </c>
    </row>
    <row r="894" spans="1:34" x14ac:dyDescent="0.2">
      <c r="A894" s="347">
        <f t="shared" ca="1" si="383"/>
        <v>1E-4</v>
      </c>
      <c r="B894" s="304">
        <f t="shared" ca="1" si="384"/>
        <v>39.413600000000699</v>
      </c>
      <c r="D894" s="306">
        <f t="shared" ca="1" si="385"/>
        <v>-0.41136018075669878</v>
      </c>
      <c r="E894" s="307">
        <f t="shared" ca="1" si="386"/>
        <v>-1.7918111615542376</v>
      </c>
      <c r="F894" s="304">
        <f t="shared" ca="1" si="387"/>
        <v>1.8384244441865241</v>
      </c>
      <c r="G894" s="306">
        <f t="shared" ca="1" si="388"/>
        <v>6.8444064315560755</v>
      </c>
      <c r="H894" s="307">
        <f t="shared" ca="1" si="389"/>
        <v>-133.4114223177223</v>
      </c>
      <c r="I894" s="304">
        <f t="shared" ca="1" si="390"/>
        <v>133.58687624253358</v>
      </c>
      <c r="J894" s="306">
        <f t="shared" ca="1" si="391"/>
        <v>539.267207314762</v>
      </c>
      <c r="K894" s="307">
        <f t="shared" ca="1" si="392"/>
        <v>-11.194145457622311</v>
      </c>
      <c r="L894" s="304">
        <f t="shared" ca="1" si="377"/>
        <v>539.38337921889001</v>
      </c>
      <c r="M894" s="306">
        <f t="shared" ca="1" si="393"/>
        <v>-1.5195382639060442</v>
      </c>
      <c r="N894" s="304">
        <f t="shared" ca="1" si="394"/>
        <v>-87.063129330452611</v>
      </c>
      <c r="P894" s="310">
        <f t="shared" ca="1" si="395"/>
        <v>23</v>
      </c>
      <c r="Q894" s="304">
        <f t="shared" ca="1" si="396"/>
        <v>0</v>
      </c>
      <c r="R894" s="306">
        <f t="shared" ca="1" si="397"/>
        <v>0</v>
      </c>
      <c r="S894" s="307">
        <f t="shared" ca="1" si="398"/>
        <v>6.8519999999999914</v>
      </c>
      <c r="T894" s="304">
        <f t="shared" ca="1" si="378"/>
        <v>67.218119999999914</v>
      </c>
      <c r="U894" s="311">
        <f t="shared" ca="1" si="379"/>
        <v>0</v>
      </c>
      <c r="V894" s="306">
        <f t="shared" ca="1" si="380"/>
        <v>1.2263720507653511</v>
      </c>
      <c r="W894" s="304">
        <f t="shared" ca="1" si="381"/>
        <v>55.013104327252258</v>
      </c>
      <c r="Y894" s="314" t="str">
        <f t="shared" ca="1" si="399"/>
        <v/>
      </c>
      <c r="Z894" s="315" t="str">
        <f t="shared" ca="1" si="400"/>
        <v/>
      </c>
      <c r="AA894" s="316" t="str">
        <f t="shared" ca="1" si="401"/>
        <v/>
      </c>
      <c r="AC894" s="310" t="e">
        <f t="shared" ca="1" si="402"/>
        <v>#N/A</v>
      </c>
      <c r="AD894" s="323" t="e">
        <f t="shared" ca="1" si="403"/>
        <v>#N/A</v>
      </c>
      <c r="AE894" s="324" t="e">
        <f t="shared" ca="1" si="382"/>
        <v>#N/A</v>
      </c>
      <c r="AG894" s="306">
        <f t="shared" ca="1" si="404"/>
        <v>1.7683813013846343</v>
      </c>
      <c r="AH894" s="304">
        <f t="shared" ca="1" si="405"/>
        <v>-8.0287339878269961</v>
      </c>
    </row>
    <row r="895" spans="1:34" x14ac:dyDescent="0.2">
      <c r="A895" s="347">
        <f t="shared" ca="1" si="383"/>
        <v>1E-4</v>
      </c>
      <c r="B895" s="304">
        <f t="shared" ca="1" si="384"/>
        <v>39.413700000000702</v>
      </c>
      <c r="D895" s="306">
        <f t="shared" ca="1" si="385"/>
        <v>-0.41135880177092071</v>
      </c>
      <c r="E895" s="307">
        <f t="shared" ca="1" si="386"/>
        <v>-1.7917790810684693</v>
      </c>
      <c r="F895" s="304">
        <f t="shared" ca="1" si="387"/>
        <v>1.8383928685536657</v>
      </c>
      <c r="G895" s="306">
        <f t="shared" ca="1" si="388"/>
        <v>6.8443652956758987</v>
      </c>
      <c r="H895" s="307">
        <f t="shared" ca="1" si="389"/>
        <v>-133.41160149563041</v>
      </c>
      <c r="I895" s="304">
        <f t="shared" ca="1" si="390"/>
        <v>133.58705307749531</v>
      </c>
      <c r="J895" s="306">
        <f t="shared" ca="1" si="391"/>
        <v>539.267207314762</v>
      </c>
      <c r="K895" s="307">
        <f t="shared" ca="1" si="392"/>
        <v>-11.207486608812978</v>
      </c>
      <c r="L895" s="304">
        <f t="shared" ca="1" si="377"/>
        <v>539.38365626068912</v>
      </c>
      <c r="M895" s="306">
        <f t="shared" ca="1" si="393"/>
        <v>-1.519538640156153</v>
      </c>
      <c r="N895" s="304">
        <f t="shared" ca="1" si="394"/>
        <v>-87.063150887995889</v>
      </c>
      <c r="P895" s="310">
        <f t="shared" ca="1" si="395"/>
        <v>23</v>
      </c>
      <c r="Q895" s="304">
        <f t="shared" ca="1" si="396"/>
        <v>0</v>
      </c>
      <c r="R895" s="306">
        <f t="shared" ca="1" si="397"/>
        <v>0</v>
      </c>
      <c r="S895" s="307">
        <f t="shared" ca="1" si="398"/>
        <v>6.8519999999999914</v>
      </c>
      <c r="T895" s="304">
        <f t="shared" ca="1" si="378"/>
        <v>67.218119999999914</v>
      </c>
      <c r="U895" s="311">
        <f t="shared" ca="1" si="379"/>
        <v>0</v>
      </c>
      <c r="V895" s="306">
        <f t="shared" ca="1" si="380"/>
        <v>1.2263736868884498</v>
      </c>
      <c r="W895" s="304">
        <f t="shared" ca="1" si="381"/>
        <v>55.013323368074587</v>
      </c>
      <c r="Y895" s="314" t="str">
        <f t="shared" ca="1" si="399"/>
        <v/>
      </c>
      <c r="Z895" s="315" t="str">
        <f t="shared" ca="1" si="400"/>
        <v/>
      </c>
      <c r="AA895" s="316" t="str">
        <f t="shared" ca="1" si="401"/>
        <v/>
      </c>
      <c r="AC895" s="310" t="e">
        <f t="shared" ca="1" si="402"/>
        <v>#N/A</v>
      </c>
      <c r="AD895" s="323" t="e">
        <f t="shared" ca="1" si="403"/>
        <v>#N/A</v>
      </c>
      <c r="AE895" s="324" t="e">
        <f t="shared" ca="1" si="382"/>
        <v>#N/A</v>
      </c>
      <c r="AG895" s="306">
        <f t="shared" ca="1" si="404"/>
        <v>1.7683495228010546</v>
      </c>
      <c r="AH895" s="304">
        <f t="shared" ca="1" si="405"/>
        <v>-8.0287659555242747</v>
      </c>
    </row>
    <row r="896" spans="1:34" x14ac:dyDescent="0.2">
      <c r="A896" s="347">
        <f t="shared" ca="1" si="383"/>
        <v>1E-4</v>
      </c>
      <c r="B896" s="304">
        <f t="shared" ca="1" si="384"/>
        <v>39.413800000000705</v>
      </c>
      <c r="D896" s="306">
        <f t="shared" ca="1" si="385"/>
        <v>-0.41135742277342269</v>
      </c>
      <c r="E896" s="307">
        <f t="shared" ca="1" si="386"/>
        <v>-1.7917470008520411</v>
      </c>
      <c r="F896" s="304">
        <f t="shared" ca="1" si="387"/>
        <v>1.8383612931992113</v>
      </c>
      <c r="G896" s="306">
        <f t="shared" ca="1" si="388"/>
        <v>6.8443241599336213</v>
      </c>
      <c r="H896" s="307">
        <f t="shared" ca="1" si="389"/>
        <v>-133.4117806703305</v>
      </c>
      <c r="I896" s="304">
        <f t="shared" ca="1" si="390"/>
        <v>133.58722990927922</v>
      </c>
      <c r="J896" s="306">
        <f t="shared" ca="1" si="391"/>
        <v>539.267207314762</v>
      </c>
      <c r="K896" s="307">
        <f t="shared" ca="1" si="392"/>
        <v>-11.220827777921276</v>
      </c>
      <c r="L896" s="304">
        <f t="shared" ca="1" si="377"/>
        <v>539.38393363269938</v>
      </c>
      <c r="M896" s="306">
        <f t="shared" ca="1" si="393"/>
        <v>-1.5195390164030043</v>
      </c>
      <c r="N896" s="304">
        <f t="shared" ca="1" si="394"/>
        <v>-87.063172445352521</v>
      </c>
      <c r="P896" s="310">
        <f t="shared" ca="1" si="395"/>
        <v>23</v>
      </c>
      <c r="Q896" s="304">
        <f t="shared" ca="1" si="396"/>
        <v>0</v>
      </c>
      <c r="R896" s="306">
        <f t="shared" ca="1" si="397"/>
        <v>0</v>
      </c>
      <c r="S896" s="307">
        <f t="shared" ca="1" si="398"/>
        <v>6.8519999999999914</v>
      </c>
      <c r="T896" s="304">
        <f t="shared" ca="1" si="378"/>
        <v>67.218119999999914</v>
      </c>
      <c r="U896" s="311">
        <f t="shared" ca="1" si="379"/>
        <v>0</v>
      </c>
      <c r="V896" s="306">
        <f t="shared" ca="1" si="380"/>
        <v>1.2263753230159304</v>
      </c>
      <c r="W896" s="304">
        <f t="shared" ca="1" si="381"/>
        <v>55.013542407057521</v>
      </c>
      <c r="Y896" s="314" t="str">
        <f t="shared" ca="1" si="399"/>
        <v/>
      </c>
      <c r="Z896" s="315" t="str">
        <f t="shared" ca="1" si="400"/>
        <v/>
      </c>
      <c r="AA896" s="316" t="str">
        <f t="shared" ca="1" si="401"/>
        <v/>
      </c>
      <c r="AC896" s="310" t="e">
        <f t="shared" ca="1" si="402"/>
        <v>#N/A</v>
      </c>
      <c r="AD896" s="323" t="e">
        <f t="shared" ca="1" si="403"/>
        <v>#N/A</v>
      </c>
      <c r="AE896" s="324" t="e">
        <f t="shared" ca="1" si="382"/>
        <v>#N/A</v>
      </c>
      <c r="AG896" s="306">
        <f t="shared" ca="1" si="404"/>
        <v>1.7683177444829035</v>
      </c>
      <c r="AH896" s="304">
        <f t="shared" ca="1" si="405"/>
        <v>-8.0287979229531015</v>
      </c>
    </row>
    <row r="897" spans="1:34" x14ac:dyDescent="0.2">
      <c r="A897" s="347">
        <f t="shared" ca="1" si="383"/>
        <v>1E-4</v>
      </c>
      <c r="B897" s="304">
        <f t="shared" ca="1" si="384"/>
        <v>39.413900000000709</v>
      </c>
      <c r="D897" s="306">
        <f t="shared" ca="1" si="385"/>
        <v>-0.41135604376420926</v>
      </c>
      <c r="E897" s="307">
        <f t="shared" ca="1" si="386"/>
        <v>-1.7917149209049477</v>
      </c>
      <c r="F897" s="304">
        <f t="shared" ca="1" si="387"/>
        <v>1.8383297181231568</v>
      </c>
      <c r="G897" s="306">
        <f t="shared" ca="1" si="388"/>
        <v>6.8442830243292452</v>
      </c>
      <c r="H897" s="307">
        <f t="shared" ca="1" si="389"/>
        <v>-133.41195984182258</v>
      </c>
      <c r="I897" s="304">
        <f t="shared" ca="1" si="390"/>
        <v>133.58740673788529</v>
      </c>
      <c r="J897" s="306">
        <f t="shared" ca="1" si="391"/>
        <v>539.267207314762</v>
      </c>
      <c r="K897" s="307">
        <f t="shared" ca="1" si="392"/>
        <v>-11.234168964946884</v>
      </c>
      <c r="L897" s="304">
        <f t="shared" ca="1" si="377"/>
        <v>539.3842113349217</v>
      </c>
      <c r="M897" s="306">
        <f t="shared" ca="1" si="393"/>
        <v>-1.5195393926465983</v>
      </c>
      <c r="N897" s="304">
        <f t="shared" ca="1" si="394"/>
        <v>-87.063194002522522</v>
      </c>
      <c r="P897" s="310">
        <f t="shared" ca="1" si="395"/>
        <v>23</v>
      </c>
      <c r="Q897" s="304">
        <f t="shared" ca="1" si="396"/>
        <v>0</v>
      </c>
      <c r="R897" s="306">
        <f t="shared" ca="1" si="397"/>
        <v>0</v>
      </c>
      <c r="S897" s="307">
        <f t="shared" ca="1" si="398"/>
        <v>6.8519999999999914</v>
      </c>
      <c r="T897" s="304">
        <f t="shared" ca="1" si="378"/>
        <v>67.218119999999914</v>
      </c>
      <c r="U897" s="311">
        <f t="shared" ca="1" si="379"/>
        <v>0</v>
      </c>
      <c r="V897" s="306">
        <f t="shared" ca="1" si="380"/>
        <v>1.2263769591477924</v>
      </c>
      <c r="W897" s="304">
        <f t="shared" ca="1" si="381"/>
        <v>55.01376144420103</v>
      </c>
      <c r="Y897" s="314" t="str">
        <f t="shared" ca="1" si="399"/>
        <v/>
      </c>
      <c r="Z897" s="315" t="str">
        <f t="shared" ca="1" si="400"/>
        <v/>
      </c>
      <c r="AA897" s="316" t="str">
        <f t="shared" ca="1" si="401"/>
        <v/>
      </c>
      <c r="AC897" s="310" t="e">
        <f t="shared" ca="1" si="402"/>
        <v>#N/A</v>
      </c>
      <c r="AD897" s="323" t="e">
        <f t="shared" ca="1" si="403"/>
        <v>#N/A</v>
      </c>
      <c r="AE897" s="324" t="e">
        <f t="shared" ca="1" si="382"/>
        <v>#N/A</v>
      </c>
      <c r="AG897" s="306">
        <f t="shared" ca="1" si="404"/>
        <v>1.768285966430172</v>
      </c>
      <c r="AH897" s="304">
        <f t="shared" ca="1" si="405"/>
        <v>-8.0288298901134834</v>
      </c>
    </row>
    <row r="898" spans="1:34" x14ac:dyDescent="0.2">
      <c r="A898" s="347">
        <f t="shared" ca="1" si="383"/>
        <v>1E-4</v>
      </c>
      <c r="B898" s="304">
        <f t="shared" ca="1" si="384"/>
        <v>39.414000000000712</v>
      </c>
      <c r="D898" s="306">
        <f t="shared" ca="1" si="385"/>
        <v>-0.41135466474327731</v>
      </c>
      <c r="E898" s="307">
        <f t="shared" ca="1" si="386"/>
        <v>-1.7916828412271961</v>
      </c>
      <c r="F898" s="304">
        <f t="shared" ca="1" si="387"/>
        <v>1.8382981433255086</v>
      </c>
      <c r="G898" s="306">
        <f t="shared" ca="1" si="388"/>
        <v>6.8442418888627712</v>
      </c>
      <c r="H898" s="307">
        <f t="shared" ca="1" si="389"/>
        <v>-133.4121390101067</v>
      </c>
      <c r="I898" s="304">
        <f t="shared" ca="1" si="390"/>
        <v>133.58758356331361</v>
      </c>
      <c r="J898" s="306">
        <f t="shared" ca="1" si="391"/>
        <v>539.267207314762</v>
      </c>
      <c r="K898" s="307">
        <f t="shared" ca="1" si="392"/>
        <v>-11.24751016988948</v>
      </c>
      <c r="L898" s="304">
        <f t="shared" ca="1" si="377"/>
        <v>539.38448936735688</v>
      </c>
      <c r="M898" s="306">
        <f t="shared" ca="1" si="393"/>
        <v>-1.5195397688869348</v>
      </c>
      <c r="N898" s="304">
        <f t="shared" ca="1" si="394"/>
        <v>-87.063215559505878</v>
      </c>
      <c r="P898" s="310">
        <f t="shared" ca="1" si="395"/>
        <v>23</v>
      </c>
      <c r="Q898" s="304">
        <f t="shared" ca="1" si="396"/>
        <v>0</v>
      </c>
      <c r="R898" s="306">
        <f t="shared" ca="1" si="397"/>
        <v>0</v>
      </c>
      <c r="S898" s="307">
        <f t="shared" ca="1" si="398"/>
        <v>6.8519999999999914</v>
      </c>
      <c r="T898" s="304">
        <f t="shared" ca="1" si="378"/>
        <v>67.218119999999914</v>
      </c>
      <c r="U898" s="311">
        <f t="shared" ca="1" si="379"/>
        <v>0</v>
      </c>
      <c r="V898" s="306">
        <f t="shared" ca="1" si="380"/>
        <v>1.2263785952840356</v>
      </c>
      <c r="W898" s="304">
        <f t="shared" ca="1" si="381"/>
        <v>55.013980479505143</v>
      </c>
      <c r="Y898" s="314" t="str">
        <f t="shared" ca="1" si="399"/>
        <v/>
      </c>
      <c r="Z898" s="315" t="str">
        <f t="shared" ca="1" si="400"/>
        <v/>
      </c>
      <c r="AA898" s="316" t="str">
        <f t="shared" ca="1" si="401"/>
        <v/>
      </c>
      <c r="AC898" s="310" t="e">
        <f t="shared" ca="1" si="402"/>
        <v>#N/A</v>
      </c>
      <c r="AD898" s="323" t="e">
        <f t="shared" ca="1" si="403"/>
        <v>#N/A</v>
      </c>
      <c r="AE898" s="324" t="e">
        <f t="shared" ca="1" si="382"/>
        <v>#N/A</v>
      </c>
      <c r="AG898" s="306">
        <f t="shared" ca="1" si="404"/>
        <v>1.7682541886428655</v>
      </c>
      <c r="AH898" s="304">
        <f t="shared" ca="1" si="405"/>
        <v>-8.0288618570054151</v>
      </c>
    </row>
    <row r="899" spans="1:34" x14ac:dyDescent="0.2">
      <c r="A899" s="347">
        <f t="shared" ca="1" si="383"/>
        <v>1E-4</v>
      </c>
      <c r="B899" s="304">
        <f t="shared" ca="1" si="384"/>
        <v>39.414100000000715</v>
      </c>
      <c r="D899" s="306">
        <f t="shared" ca="1" si="385"/>
        <v>-0.41135328571063101</v>
      </c>
      <c r="E899" s="307">
        <f t="shared" ca="1" si="386"/>
        <v>-1.7916507618187811</v>
      </c>
      <c r="F899" s="304">
        <f t="shared" ca="1" si="387"/>
        <v>1.8382665688062629</v>
      </c>
      <c r="G899" s="306">
        <f t="shared" ca="1" si="388"/>
        <v>6.8442007535342002</v>
      </c>
      <c r="H899" s="307">
        <f t="shared" ca="1" si="389"/>
        <v>-133.41231817518289</v>
      </c>
      <c r="I899" s="304">
        <f t="shared" ca="1" si="390"/>
        <v>133.5877603855642</v>
      </c>
      <c r="J899" s="306">
        <f t="shared" ca="1" si="391"/>
        <v>539.267207314762</v>
      </c>
      <c r="K899" s="307">
        <f t="shared" ca="1" si="392"/>
        <v>-11.260851392748744</v>
      </c>
      <c r="L899" s="304">
        <f t="shared" ca="1" si="377"/>
        <v>539.38476773000559</v>
      </c>
      <c r="M899" s="306">
        <f t="shared" ca="1" si="393"/>
        <v>-1.519540145124014</v>
      </c>
      <c r="N899" s="304">
        <f t="shared" ca="1" si="394"/>
        <v>-87.063237116302616</v>
      </c>
      <c r="P899" s="310">
        <f t="shared" ca="1" si="395"/>
        <v>23</v>
      </c>
      <c r="Q899" s="304">
        <f t="shared" ca="1" si="396"/>
        <v>0</v>
      </c>
      <c r="R899" s="306">
        <f t="shared" ca="1" si="397"/>
        <v>0</v>
      </c>
      <c r="S899" s="307">
        <f t="shared" ca="1" si="398"/>
        <v>6.8519999999999914</v>
      </c>
      <c r="T899" s="304">
        <f t="shared" ca="1" si="378"/>
        <v>67.218119999999914</v>
      </c>
      <c r="U899" s="311">
        <f t="shared" ca="1" si="379"/>
        <v>0</v>
      </c>
      <c r="V899" s="306">
        <f t="shared" ca="1" si="380"/>
        <v>1.2263802314246597</v>
      </c>
      <c r="W899" s="304">
        <f t="shared" ca="1" si="381"/>
        <v>55.014199512969853</v>
      </c>
      <c r="Y899" s="314" t="str">
        <f t="shared" ca="1" si="399"/>
        <v/>
      </c>
      <c r="Z899" s="315" t="str">
        <f t="shared" ca="1" si="400"/>
        <v/>
      </c>
      <c r="AA899" s="316" t="str">
        <f t="shared" ca="1" si="401"/>
        <v/>
      </c>
      <c r="AC899" s="310" t="e">
        <f t="shared" ca="1" si="402"/>
        <v>#N/A</v>
      </c>
      <c r="AD899" s="323" t="e">
        <f t="shared" ca="1" si="403"/>
        <v>#N/A</v>
      </c>
      <c r="AE899" s="324" t="e">
        <f t="shared" ca="1" si="382"/>
        <v>#N/A</v>
      </c>
      <c r="AG899" s="306">
        <f t="shared" ca="1" si="404"/>
        <v>1.7682224111209859</v>
      </c>
      <c r="AH899" s="304">
        <f t="shared" ca="1" si="405"/>
        <v>-8.0288938236288985</v>
      </c>
    </row>
    <row r="900" spans="1:34" x14ac:dyDescent="0.2">
      <c r="A900" s="347">
        <f t="shared" ca="1" si="383"/>
        <v>1E-4</v>
      </c>
      <c r="B900" s="304">
        <f t="shared" ca="1" si="384"/>
        <v>39.414200000000719</v>
      </c>
      <c r="D900" s="306">
        <f t="shared" ca="1" si="385"/>
        <v>-0.41135190666626753</v>
      </c>
      <c r="E900" s="307">
        <f t="shared" ca="1" si="386"/>
        <v>-1.7916186826797027</v>
      </c>
      <c r="F900" s="304">
        <f t="shared" ca="1" si="387"/>
        <v>1.8382349945654193</v>
      </c>
      <c r="G900" s="306">
        <f t="shared" ca="1" si="388"/>
        <v>6.8441596183435331</v>
      </c>
      <c r="H900" s="307">
        <f t="shared" ca="1" si="389"/>
        <v>-133.41249733705115</v>
      </c>
      <c r="I900" s="304">
        <f t="shared" ca="1" si="390"/>
        <v>133.58793720463703</v>
      </c>
      <c r="J900" s="306">
        <f t="shared" ca="1" si="391"/>
        <v>539.267207314762</v>
      </c>
      <c r="K900" s="307">
        <f t="shared" ca="1" si="392"/>
        <v>-11.274192633524356</v>
      </c>
      <c r="L900" s="304">
        <f t="shared" ref="L900:L963" ca="1" si="406">SQRT(pos_x^2+pos_z^2)</f>
        <v>539.38504642286875</v>
      </c>
      <c r="M900" s="306">
        <f t="shared" ca="1" si="393"/>
        <v>-1.5195405213578361</v>
      </c>
      <c r="N900" s="304">
        <f t="shared" ca="1" si="394"/>
        <v>-87.063258672912738</v>
      </c>
      <c r="P900" s="310">
        <f t="shared" ca="1" si="395"/>
        <v>23</v>
      </c>
      <c r="Q900" s="304">
        <f t="shared" ca="1" si="396"/>
        <v>0</v>
      </c>
      <c r="R900" s="306">
        <f t="shared" ca="1" si="397"/>
        <v>0</v>
      </c>
      <c r="S900" s="307">
        <f t="shared" ca="1" si="398"/>
        <v>6.8519999999999914</v>
      </c>
      <c r="T900" s="304">
        <f t="shared" ref="T900:T963" ca="1" si="407">m*g</f>
        <v>67.218119999999914</v>
      </c>
      <c r="U900" s="311">
        <f t="shared" ref="U900:U963" ca="1" si="408">IF(pos_xz&lt;L_rampe,Poids*COS(Beta),0)</f>
        <v>0</v>
      </c>
      <c r="V900" s="306">
        <f t="shared" ref="V900:V963" ca="1" si="409">Rho_moyen*(20000-Alt_rampe-pos_z)/(20000+Alt_rampe+pos_z)</f>
        <v>1.2263818675696658</v>
      </c>
      <c r="W900" s="304">
        <f t="shared" ref="W900:W963" ca="1" si="410">1/2*Rho*Sref*Cx*vit_xz^2</f>
        <v>55.014418544595181</v>
      </c>
      <c r="Y900" s="314" t="str">
        <f t="shared" ca="1" si="399"/>
        <v/>
      </c>
      <c r="Z900" s="315" t="str">
        <f t="shared" ca="1" si="400"/>
        <v/>
      </c>
      <c r="AA900" s="316" t="str">
        <f t="shared" ca="1" si="401"/>
        <v/>
      </c>
      <c r="AC900" s="310" t="e">
        <f t="shared" ca="1" si="402"/>
        <v>#N/A</v>
      </c>
      <c r="AD900" s="323" t="e">
        <f t="shared" ca="1" si="403"/>
        <v>#N/A</v>
      </c>
      <c r="AE900" s="324" t="e">
        <f t="shared" ref="AE900:AE963" ca="1" si="411">IF(t&lt;T_para, pos_z, NA())</f>
        <v>#N/A</v>
      </c>
      <c r="AG900" s="306">
        <f t="shared" ca="1" si="404"/>
        <v>1.7681906338645277</v>
      </c>
      <c r="AH900" s="304">
        <f t="shared" ca="1" si="405"/>
        <v>-8.0289257899839352</v>
      </c>
    </row>
    <row r="901" spans="1:34" x14ac:dyDescent="0.2">
      <c r="A901" s="347">
        <f t="shared" ref="A901:A964" ca="1" si="412">IF(B900+0.01&lt;=T_ini+ROUNDUP(Temps_fin_propu,0), 0.01, IF(K900&gt;0, 0.1, 0.0001))</f>
        <v>1E-4</v>
      </c>
      <c r="B901" s="304">
        <f t="shared" ref="B901:B964" ca="1" si="413">B900+pas</f>
        <v>39.414300000000722</v>
      </c>
      <c r="D901" s="306">
        <f t="shared" ref="D901:D964" ca="1" si="414">IF(AND(L900&lt;L_rampe,Poussee&lt;Poids*SIN(M900)),0,(-W900+Poussee)/m*COS(M900)-U900/m*SIN(M900))</f>
        <v>-0.41135052761018753</v>
      </c>
      <c r="E901" s="307">
        <f t="shared" ref="E901:E964" ca="1" si="415">IF(AND(L900&lt;L_rampe,Poussee&lt;Poids*SIN(M900)),0,(-W900+Poussee)/m*SIN(M900)+U900/m*COS(M900)-Poids/m)</f>
        <v>-1.7915866038099608</v>
      </c>
      <c r="F901" s="304">
        <f t="shared" ref="F901:F964" ca="1" si="416">SQRT(acc_x^2+acc_z^2)</f>
        <v>1.838203420602978</v>
      </c>
      <c r="G901" s="306">
        <f t="shared" ref="G901:G964" ca="1" si="417">G900+acc_x*pas</f>
        <v>6.8441184832907718</v>
      </c>
      <c r="H901" s="307">
        <f t="shared" ref="H901:H964" ca="1" si="418">H900+acc_z*pas</f>
        <v>-133.41267649571154</v>
      </c>
      <c r="I901" s="304">
        <f t="shared" ref="I901:I964" ca="1" si="419">SQRT(vit_x^2+vit_z^2)</f>
        <v>133.58811402053217</v>
      </c>
      <c r="J901" s="306">
        <f t="shared" ref="J901:J964" ca="1" si="420">J900+0.5*(vit_x+G900)*pas*(K900&gt;=0)</f>
        <v>539.267207314762</v>
      </c>
      <c r="K901" s="307">
        <f t="shared" ref="K901:K964" ca="1" si="421">K900+0.5*(vit_z+H900)*pas</f>
        <v>-11.287533892215993</v>
      </c>
      <c r="L901" s="304">
        <f t="shared" ca="1" si="406"/>
        <v>539.38532544594727</v>
      </c>
      <c r="M901" s="306">
        <f t="shared" ref="M901:M964" ca="1" si="422">IF(AND(L900&gt;L_rampe,G901&gt;0),ATAN2(G901,H901),$M$4)</f>
        <v>-1.5195408975884011</v>
      </c>
      <c r="N901" s="304">
        <f t="shared" ref="N901:N964" ca="1" si="423">DEGREES(Beta)</f>
        <v>-87.063280229336229</v>
      </c>
      <c r="P901" s="310">
        <f t="shared" ref="P901:P964" ca="1" si="424">MATCH(t-pas/2-T_ini,CdP_t)</f>
        <v>23</v>
      </c>
      <c r="Q901" s="304">
        <f t="shared" ref="Q901:Q964" ca="1" si="425">(INDEX(CdP,2,i_P+1)-INDEX(CdP,2,i_P+0))/(INDEX(CdP,1,i_P+1)-INDEX(CdP,1,i_P+0))*(t-pas/2-T_ini-INDEX(CdP,1,i_P+0))+INDEX(CdP,2,i_P+0)</f>
        <v>0</v>
      </c>
      <c r="R901" s="306">
        <f t="shared" ref="R901:R964" ca="1" si="426">Poussee/(g*ISP)</f>
        <v>0</v>
      </c>
      <c r="S901" s="307">
        <f t="shared" ref="S901:S964" ca="1" si="427">S900-Débit*pas</f>
        <v>6.8519999999999914</v>
      </c>
      <c r="T901" s="304">
        <f t="shared" ca="1" si="407"/>
        <v>67.218119999999914</v>
      </c>
      <c r="U901" s="311">
        <f t="shared" ca="1" si="408"/>
        <v>0</v>
      </c>
      <c r="V901" s="306">
        <f t="shared" ca="1" si="409"/>
        <v>1.2263835037190525</v>
      </c>
      <c r="W901" s="304">
        <f t="shared" ca="1" si="410"/>
        <v>55.014637574381069</v>
      </c>
      <c r="Y901" s="314" t="str">
        <f t="shared" ref="Y901:Y964" ca="1" si="428">IF(AND(pos_z&lt;=0,K900&gt;0),"Impact balistique","") &amp; IF(AND(H902&lt;0,vit_z&gt;=0),"Apogée","") &amp; IF(AND(Poussee=0,Q900&gt;0),"Fin de propulsion","") &amp; IF(AND(L902&gt;L_rampe,pos_xz&lt;=L_rampe),"Sortie de rampe","")</f>
        <v/>
      </c>
      <c r="Z901" s="315" t="str">
        <f t="shared" ref="Z901:Z964" ca="1" si="429">IF(ABS(t-T_para)&lt;pas/2,"Para","")</f>
        <v/>
      </c>
      <c r="AA901" s="316" t="str">
        <f t="shared" ref="AA901:AA964" ca="1" si="430">IF(ABS(t-T_satellite)&lt;pas/2,"Satellite","")</f>
        <v/>
      </c>
      <c r="AC901" s="310" t="e">
        <f t="shared" ref="AC901:AC964" ca="1" si="431">IF(ABS(t-ROUND(t,0))&lt;0.001,t,NA())</f>
        <v>#N/A</v>
      </c>
      <c r="AD901" s="323" t="e">
        <f t="shared" ref="AD901:AD964" ca="1" si="432">IF(ABS(t-ROUND(t,0))&lt;0.001,pos_x,NA())</f>
        <v>#N/A</v>
      </c>
      <c r="AE901" s="324" t="e">
        <f t="shared" ca="1" si="411"/>
        <v>#N/A</v>
      </c>
      <c r="AG901" s="306">
        <f t="shared" ref="AG901:AG964" ca="1" si="433">IF(AND(L900&lt;L_rampe,Poussee&lt;Poids*SIN(M900)),0,(-W900+Poussee)/m-Poids*SIN(M900)/m)</f>
        <v>1.7681588568734927</v>
      </c>
      <c r="AH901" s="304">
        <f t="shared" ref="AH901:AH964" ca="1" si="434">IF(AND(L900&lt;L_rampe,Poussee&lt;Poids*SIN(M900)), g*SIN(M900), (-W900+Poussee)/m)</f>
        <v>-8.0289577560705272</v>
      </c>
    </row>
    <row r="902" spans="1:34" x14ac:dyDescent="0.2">
      <c r="A902" s="347">
        <f t="shared" ca="1" si="412"/>
        <v>1E-4</v>
      </c>
      <c r="B902" s="304">
        <f t="shared" ca="1" si="413"/>
        <v>39.414400000000725</v>
      </c>
      <c r="D902" s="306">
        <f t="shared" ca="1" si="414"/>
        <v>-0.4113491485423913</v>
      </c>
      <c r="E902" s="307">
        <f t="shared" ca="1" si="415"/>
        <v>-1.7915545252095608</v>
      </c>
      <c r="F902" s="304">
        <f t="shared" ca="1" si="416"/>
        <v>1.838171846918945</v>
      </c>
      <c r="G902" s="306">
        <f t="shared" ca="1" si="417"/>
        <v>6.8440773483759179</v>
      </c>
      <c r="H902" s="307">
        <f t="shared" ca="1" si="418"/>
        <v>-133.41285565116405</v>
      </c>
      <c r="I902" s="304">
        <f t="shared" ca="1" si="419"/>
        <v>133.58829083324963</v>
      </c>
      <c r="J902" s="306">
        <f t="shared" ca="1" si="420"/>
        <v>539.267207314762</v>
      </c>
      <c r="K902" s="307">
        <f t="shared" ca="1" si="421"/>
        <v>-11.300875168823337</v>
      </c>
      <c r="L902" s="304">
        <f t="shared" ca="1" si="406"/>
        <v>539.38560479924183</v>
      </c>
      <c r="M902" s="306">
        <f t="shared" ca="1" si="422"/>
        <v>-1.5195412738157086</v>
      </c>
      <c r="N902" s="304">
        <f t="shared" ca="1" si="423"/>
        <v>-87.063301785573088</v>
      </c>
      <c r="P902" s="310">
        <f t="shared" ca="1" si="424"/>
        <v>23</v>
      </c>
      <c r="Q902" s="304">
        <f t="shared" ca="1" si="425"/>
        <v>0</v>
      </c>
      <c r="R902" s="306">
        <f t="shared" ca="1" si="426"/>
        <v>0</v>
      </c>
      <c r="S902" s="307">
        <f t="shared" ca="1" si="427"/>
        <v>6.8519999999999914</v>
      </c>
      <c r="T902" s="304">
        <f t="shared" ca="1" si="407"/>
        <v>67.218119999999914</v>
      </c>
      <c r="U902" s="311">
        <f t="shared" ca="1" si="408"/>
        <v>0</v>
      </c>
      <c r="V902" s="306">
        <f t="shared" ca="1" si="409"/>
        <v>1.2263851398728209</v>
      </c>
      <c r="W902" s="304">
        <f t="shared" ca="1" si="410"/>
        <v>55.014856602327569</v>
      </c>
      <c r="Y902" s="314" t="str">
        <f t="shared" ca="1" si="428"/>
        <v/>
      </c>
      <c r="Z902" s="315" t="str">
        <f t="shared" ca="1" si="429"/>
        <v/>
      </c>
      <c r="AA902" s="316" t="str">
        <f t="shared" ca="1" si="430"/>
        <v/>
      </c>
      <c r="AC902" s="310" t="e">
        <f t="shared" ca="1" si="431"/>
        <v>#N/A</v>
      </c>
      <c r="AD902" s="323" t="e">
        <f t="shared" ca="1" si="432"/>
        <v>#N/A</v>
      </c>
      <c r="AE902" s="324" t="e">
        <f t="shared" ca="1" si="411"/>
        <v>#N/A</v>
      </c>
      <c r="AG902" s="306">
        <f t="shared" ca="1" si="433"/>
        <v>1.7681270801478846</v>
      </c>
      <c r="AH902" s="304">
        <f t="shared" ca="1" si="434"/>
        <v>-8.0289897218886654</v>
      </c>
    </row>
    <row r="903" spans="1:34" x14ac:dyDescent="0.2">
      <c r="A903" s="347">
        <f t="shared" ca="1" si="412"/>
        <v>1E-4</v>
      </c>
      <c r="B903" s="304">
        <f t="shared" ca="1" si="413"/>
        <v>39.414500000000729</v>
      </c>
      <c r="D903" s="306">
        <f t="shared" ca="1" si="414"/>
        <v>-0.41134776946288154</v>
      </c>
      <c r="E903" s="307">
        <f t="shared" ca="1" si="415"/>
        <v>-1.7915224468784956</v>
      </c>
      <c r="F903" s="304">
        <f t="shared" ca="1" si="416"/>
        <v>1.8381402735133139</v>
      </c>
      <c r="G903" s="306">
        <f t="shared" ca="1" si="417"/>
        <v>6.8440362135989714</v>
      </c>
      <c r="H903" s="307">
        <f t="shared" ca="1" si="418"/>
        <v>-133.41303480340875</v>
      </c>
      <c r="I903" s="304">
        <f t="shared" ca="1" si="419"/>
        <v>133.58846764278945</v>
      </c>
      <c r="J903" s="306">
        <f t="shared" ca="1" si="420"/>
        <v>539.267207314762</v>
      </c>
      <c r="K903" s="307">
        <f t="shared" ca="1" si="421"/>
        <v>-11.314216463346066</v>
      </c>
      <c r="L903" s="304">
        <f t="shared" ca="1" si="406"/>
        <v>539.38588448275311</v>
      </c>
      <c r="M903" s="306">
        <f t="shared" ca="1" si="422"/>
        <v>-1.5195416500397592</v>
      </c>
      <c r="N903" s="304">
        <f t="shared" ca="1" si="423"/>
        <v>-87.063323341623345</v>
      </c>
      <c r="P903" s="310">
        <f t="shared" ca="1" si="424"/>
        <v>23</v>
      </c>
      <c r="Q903" s="304">
        <f t="shared" ca="1" si="425"/>
        <v>0</v>
      </c>
      <c r="R903" s="306">
        <f t="shared" ca="1" si="426"/>
        <v>0</v>
      </c>
      <c r="S903" s="307">
        <f t="shared" ca="1" si="427"/>
        <v>6.8519999999999914</v>
      </c>
      <c r="T903" s="304">
        <f t="shared" ca="1" si="407"/>
        <v>67.218119999999914</v>
      </c>
      <c r="U903" s="311">
        <f t="shared" ca="1" si="408"/>
        <v>0</v>
      </c>
      <c r="V903" s="306">
        <f t="shared" ca="1" si="409"/>
        <v>1.2263867760309701</v>
      </c>
      <c r="W903" s="304">
        <f t="shared" ca="1" si="410"/>
        <v>55.01507562843468</v>
      </c>
      <c r="Y903" s="314" t="str">
        <f t="shared" ca="1" si="428"/>
        <v/>
      </c>
      <c r="Z903" s="315" t="str">
        <f t="shared" ca="1" si="429"/>
        <v/>
      </c>
      <c r="AA903" s="316" t="str">
        <f t="shared" ca="1" si="430"/>
        <v/>
      </c>
      <c r="AC903" s="310" t="e">
        <f t="shared" ca="1" si="431"/>
        <v>#N/A</v>
      </c>
      <c r="AD903" s="323" t="e">
        <f t="shared" ca="1" si="432"/>
        <v>#N/A</v>
      </c>
      <c r="AE903" s="324" t="e">
        <f t="shared" ca="1" si="411"/>
        <v>#N/A</v>
      </c>
      <c r="AG903" s="306">
        <f t="shared" ca="1" si="433"/>
        <v>1.7680953036876996</v>
      </c>
      <c r="AH903" s="304">
        <f t="shared" ca="1" si="434"/>
        <v>-8.0290216874383589</v>
      </c>
    </row>
    <row r="904" spans="1:34" x14ac:dyDescent="0.2">
      <c r="A904" s="347">
        <f t="shared" ca="1" si="412"/>
        <v>1E-4</v>
      </c>
      <c r="B904" s="304">
        <f t="shared" ca="1" si="413"/>
        <v>39.414600000000732</v>
      </c>
      <c r="D904" s="306">
        <f t="shared" ca="1" si="414"/>
        <v>-0.41134639037165543</v>
      </c>
      <c r="E904" s="307">
        <f t="shared" ca="1" si="415"/>
        <v>-1.7914903688167669</v>
      </c>
      <c r="F904" s="304">
        <f t="shared" ca="1" si="416"/>
        <v>1.8381087003860859</v>
      </c>
      <c r="G904" s="306">
        <f t="shared" ca="1" si="417"/>
        <v>6.8439950789599342</v>
      </c>
      <c r="H904" s="307">
        <f t="shared" ca="1" si="418"/>
        <v>-133.41321395244563</v>
      </c>
      <c r="I904" s="304">
        <f t="shared" ca="1" si="419"/>
        <v>133.58864444915167</v>
      </c>
      <c r="J904" s="306">
        <f t="shared" ca="1" si="420"/>
        <v>539.267207314762</v>
      </c>
      <c r="K904" s="307">
        <f t="shared" ca="1" si="421"/>
        <v>-11.327557775783859</v>
      </c>
      <c r="L904" s="304">
        <f t="shared" ca="1" si="406"/>
        <v>539.38616449648225</v>
      </c>
      <c r="M904" s="306">
        <f t="shared" ca="1" si="422"/>
        <v>-1.5195420262605526</v>
      </c>
      <c r="N904" s="304">
        <f t="shared" ca="1" si="423"/>
        <v>-87.063344897486971</v>
      </c>
      <c r="P904" s="310">
        <f t="shared" ca="1" si="424"/>
        <v>23</v>
      </c>
      <c r="Q904" s="304">
        <f t="shared" ca="1" si="425"/>
        <v>0</v>
      </c>
      <c r="R904" s="306">
        <f t="shared" ca="1" si="426"/>
        <v>0</v>
      </c>
      <c r="S904" s="307">
        <f t="shared" ca="1" si="427"/>
        <v>6.8519999999999914</v>
      </c>
      <c r="T904" s="304">
        <f t="shared" ca="1" si="407"/>
        <v>67.218119999999914</v>
      </c>
      <c r="U904" s="311">
        <f t="shared" ca="1" si="408"/>
        <v>0</v>
      </c>
      <c r="V904" s="306">
        <f t="shared" ca="1" si="409"/>
        <v>1.2263884121935007</v>
      </c>
      <c r="W904" s="304">
        <f t="shared" ca="1" si="410"/>
        <v>55.015294652702408</v>
      </c>
      <c r="Y904" s="314" t="str">
        <f t="shared" ca="1" si="428"/>
        <v/>
      </c>
      <c r="Z904" s="315" t="str">
        <f t="shared" ca="1" si="429"/>
        <v/>
      </c>
      <c r="AA904" s="316" t="str">
        <f t="shared" ca="1" si="430"/>
        <v/>
      </c>
      <c r="AC904" s="310" t="e">
        <f t="shared" ca="1" si="431"/>
        <v>#N/A</v>
      </c>
      <c r="AD904" s="323" t="e">
        <f t="shared" ca="1" si="432"/>
        <v>#N/A</v>
      </c>
      <c r="AE904" s="324" t="e">
        <f t="shared" ca="1" si="411"/>
        <v>#N/A</v>
      </c>
      <c r="AG904" s="306">
        <f t="shared" ca="1" si="433"/>
        <v>1.7680635274929326</v>
      </c>
      <c r="AH904" s="304">
        <f t="shared" ca="1" si="434"/>
        <v>-8.0290536527196075</v>
      </c>
    </row>
    <row r="905" spans="1:34" x14ac:dyDescent="0.2">
      <c r="A905" s="347">
        <f t="shared" ca="1" si="412"/>
        <v>1E-4</v>
      </c>
      <c r="B905" s="304">
        <f t="shared" ca="1" si="413"/>
        <v>39.414700000000735</v>
      </c>
      <c r="D905" s="306">
        <f t="shared" ca="1" si="414"/>
        <v>-0.41134501126871531</v>
      </c>
      <c r="E905" s="307">
        <f t="shared" ca="1" si="415"/>
        <v>-1.7914582910243713</v>
      </c>
      <c r="F905" s="304">
        <f t="shared" ca="1" si="416"/>
        <v>1.8380771275372589</v>
      </c>
      <c r="G905" s="306">
        <f t="shared" ca="1" si="417"/>
        <v>6.8439539444588071</v>
      </c>
      <c r="H905" s="307">
        <f t="shared" ca="1" si="418"/>
        <v>-133.41339309827472</v>
      </c>
      <c r="I905" s="304">
        <f t="shared" ca="1" si="419"/>
        <v>133.58882125233626</v>
      </c>
      <c r="J905" s="306">
        <f t="shared" ca="1" si="420"/>
        <v>539.267207314762</v>
      </c>
      <c r="K905" s="307">
        <f t="shared" ca="1" si="421"/>
        <v>-11.340899106136394</v>
      </c>
      <c r="L905" s="304">
        <f t="shared" ca="1" si="406"/>
        <v>539.38644484042982</v>
      </c>
      <c r="M905" s="306">
        <f t="shared" ca="1" si="422"/>
        <v>-1.519542402478089</v>
      </c>
      <c r="N905" s="304">
        <f t="shared" ca="1" si="423"/>
        <v>-87.063366453163994</v>
      </c>
      <c r="P905" s="310">
        <f t="shared" ca="1" si="424"/>
        <v>23</v>
      </c>
      <c r="Q905" s="304">
        <f t="shared" ca="1" si="425"/>
        <v>0</v>
      </c>
      <c r="R905" s="306">
        <f t="shared" ca="1" si="426"/>
        <v>0</v>
      </c>
      <c r="S905" s="307">
        <f t="shared" ca="1" si="427"/>
        <v>6.8519999999999914</v>
      </c>
      <c r="T905" s="304">
        <f t="shared" ca="1" si="407"/>
        <v>67.218119999999914</v>
      </c>
      <c r="U905" s="311">
        <f t="shared" ca="1" si="408"/>
        <v>0</v>
      </c>
      <c r="V905" s="306">
        <f t="shared" ca="1" si="409"/>
        <v>1.2263900483604122</v>
      </c>
      <c r="W905" s="304">
        <f t="shared" ca="1" si="410"/>
        <v>55.015513675130713</v>
      </c>
      <c r="Y905" s="314" t="str">
        <f t="shared" ca="1" si="428"/>
        <v/>
      </c>
      <c r="Z905" s="315" t="str">
        <f t="shared" ca="1" si="429"/>
        <v/>
      </c>
      <c r="AA905" s="316" t="str">
        <f t="shared" ca="1" si="430"/>
        <v/>
      </c>
      <c r="AC905" s="310" t="e">
        <f t="shared" ca="1" si="431"/>
        <v>#N/A</v>
      </c>
      <c r="AD905" s="323" t="e">
        <f t="shared" ca="1" si="432"/>
        <v>#N/A</v>
      </c>
      <c r="AE905" s="324" t="e">
        <f t="shared" ca="1" si="411"/>
        <v>#N/A</v>
      </c>
      <c r="AG905" s="306">
        <f t="shared" ca="1" si="433"/>
        <v>1.7680317515635888</v>
      </c>
      <c r="AH905" s="304">
        <f t="shared" ca="1" si="434"/>
        <v>-8.0290856177324113</v>
      </c>
    </row>
    <row r="906" spans="1:34" x14ac:dyDescent="0.2">
      <c r="A906" s="347">
        <f t="shared" ca="1" si="412"/>
        <v>1E-4</v>
      </c>
      <c r="B906" s="304">
        <f t="shared" ca="1" si="413"/>
        <v>39.414800000000739</v>
      </c>
      <c r="D906" s="306">
        <f t="shared" ca="1" si="414"/>
        <v>-0.41134363215405961</v>
      </c>
      <c r="E906" s="307">
        <f t="shared" ca="1" si="415"/>
        <v>-1.7914262135013193</v>
      </c>
      <c r="F906" s="304">
        <f t="shared" ca="1" si="416"/>
        <v>1.8380455549668426</v>
      </c>
      <c r="G906" s="306">
        <f t="shared" ca="1" si="417"/>
        <v>6.8439128100955919</v>
      </c>
      <c r="H906" s="307">
        <f t="shared" ca="1" si="418"/>
        <v>-133.41357224089609</v>
      </c>
      <c r="I906" s="304">
        <f t="shared" ca="1" si="419"/>
        <v>133.58899805234333</v>
      </c>
      <c r="J906" s="306">
        <f t="shared" ca="1" si="420"/>
        <v>539.267207314762</v>
      </c>
      <c r="K906" s="307">
        <f t="shared" ca="1" si="421"/>
        <v>-11.354240454403353</v>
      </c>
      <c r="L906" s="304">
        <f t="shared" ca="1" si="406"/>
        <v>539.38672551459672</v>
      </c>
      <c r="M906" s="306">
        <f t="shared" ca="1" si="422"/>
        <v>-1.5195427786923685</v>
      </c>
      <c r="N906" s="304">
        <f t="shared" ca="1" si="423"/>
        <v>-87.0633880086544</v>
      </c>
      <c r="P906" s="310">
        <f t="shared" ca="1" si="424"/>
        <v>23</v>
      </c>
      <c r="Q906" s="304">
        <f t="shared" ca="1" si="425"/>
        <v>0</v>
      </c>
      <c r="R906" s="306">
        <f t="shared" ca="1" si="426"/>
        <v>0</v>
      </c>
      <c r="S906" s="307">
        <f t="shared" ca="1" si="427"/>
        <v>6.8519999999999914</v>
      </c>
      <c r="T906" s="304">
        <f t="shared" ca="1" si="407"/>
        <v>67.218119999999914</v>
      </c>
      <c r="U906" s="311">
        <f t="shared" ca="1" si="408"/>
        <v>0</v>
      </c>
      <c r="V906" s="306">
        <f t="shared" ca="1" si="409"/>
        <v>1.2263916845317049</v>
      </c>
      <c r="W906" s="304">
        <f t="shared" ca="1" si="410"/>
        <v>55.015732695719663</v>
      </c>
      <c r="Y906" s="314" t="str">
        <f t="shared" ca="1" si="428"/>
        <v/>
      </c>
      <c r="Z906" s="315" t="str">
        <f t="shared" ca="1" si="429"/>
        <v/>
      </c>
      <c r="AA906" s="316" t="str">
        <f t="shared" ca="1" si="430"/>
        <v/>
      </c>
      <c r="AC906" s="310" t="e">
        <f t="shared" ca="1" si="431"/>
        <v>#N/A</v>
      </c>
      <c r="AD906" s="323" t="e">
        <f t="shared" ca="1" si="432"/>
        <v>#N/A</v>
      </c>
      <c r="AE906" s="324" t="e">
        <f t="shared" ca="1" si="411"/>
        <v>#N/A</v>
      </c>
      <c r="AG906" s="306">
        <f t="shared" ca="1" si="433"/>
        <v>1.7679999758996754</v>
      </c>
      <c r="AH906" s="304">
        <f t="shared" ca="1" si="434"/>
        <v>-8.0291175824767631</v>
      </c>
    </row>
    <row r="907" spans="1:34" x14ac:dyDescent="0.2">
      <c r="A907" s="347">
        <f t="shared" ca="1" si="412"/>
        <v>1E-4</v>
      </c>
      <c r="B907" s="304">
        <f t="shared" ca="1" si="413"/>
        <v>39.414900000000742</v>
      </c>
      <c r="D907" s="306">
        <f t="shared" ca="1" si="414"/>
        <v>-0.41134225302768962</v>
      </c>
      <c r="E907" s="307">
        <f t="shared" ca="1" si="415"/>
        <v>-1.7913941362475949</v>
      </c>
      <c r="F907" s="304">
        <f t="shared" ca="1" si="416"/>
        <v>1.8380139826748225</v>
      </c>
      <c r="G907" s="306">
        <f t="shared" ca="1" si="417"/>
        <v>6.8438716758702896</v>
      </c>
      <c r="H907" s="307">
        <f t="shared" ca="1" si="418"/>
        <v>-133.41375138030972</v>
      </c>
      <c r="I907" s="304">
        <f t="shared" ca="1" si="419"/>
        <v>133.58917484917285</v>
      </c>
      <c r="J907" s="306">
        <f t="shared" ca="1" si="420"/>
        <v>539.267207314762</v>
      </c>
      <c r="K907" s="307">
        <f t="shared" ca="1" si="421"/>
        <v>-11.367581820584414</v>
      </c>
      <c r="L907" s="304">
        <f t="shared" ca="1" si="406"/>
        <v>539.38700651898375</v>
      </c>
      <c r="M907" s="306">
        <f t="shared" ca="1" si="422"/>
        <v>-1.5195431549033909</v>
      </c>
      <c r="N907" s="304">
        <f t="shared" ca="1" si="423"/>
        <v>-87.063409563958174</v>
      </c>
      <c r="P907" s="310">
        <f t="shared" ca="1" si="424"/>
        <v>23</v>
      </c>
      <c r="Q907" s="304">
        <f t="shared" ca="1" si="425"/>
        <v>0</v>
      </c>
      <c r="R907" s="306">
        <f t="shared" ca="1" si="426"/>
        <v>0</v>
      </c>
      <c r="S907" s="307">
        <f t="shared" ca="1" si="427"/>
        <v>6.8519999999999914</v>
      </c>
      <c r="T907" s="304">
        <f t="shared" ca="1" si="407"/>
        <v>67.218119999999914</v>
      </c>
      <c r="U907" s="311">
        <f t="shared" ca="1" si="408"/>
        <v>0</v>
      </c>
      <c r="V907" s="306">
        <f t="shared" ca="1" si="409"/>
        <v>1.2263933207073789</v>
      </c>
      <c r="W907" s="304">
        <f t="shared" ca="1" si="410"/>
        <v>55.015951714469224</v>
      </c>
      <c r="Y907" s="314" t="str">
        <f t="shared" ca="1" si="428"/>
        <v/>
      </c>
      <c r="Z907" s="315" t="str">
        <f t="shared" ca="1" si="429"/>
        <v/>
      </c>
      <c r="AA907" s="316" t="str">
        <f t="shared" ca="1" si="430"/>
        <v/>
      </c>
      <c r="AC907" s="310" t="e">
        <f t="shared" ca="1" si="431"/>
        <v>#N/A</v>
      </c>
      <c r="AD907" s="323" t="e">
        <f t="shared" ca="1" si="432"/>
        <v>#N/A</v>
      </c>
      <c r="AE907" s="324" t="e">
        <f t="shared" ca="1" si="411"/>
        <v>#N/A</v>
      </c>
      <c r="AG907" s="306">
        <f t="shared" ca="1" si="433"/>
        <v>1.7679682005011728</v>
      </c>
      <c r="AH907" s="304">
        <f t="shared" ca="1" si="434"/>
        <v>-8.0291495469526755</v>
      </c>
    </row>
    <row r="908" spans="1:34" x14ac:dyDescent="0.2">
      <c r="A908" s="347">
        <f t="shared" ca="1" si="412"/>
        <v>1E-4</v>
      </c>
      <c r="B908" s="304">
        <f t="shared" ca="1" si="413"/>
        <v>39.415000000000745</v>
      </c>
      <c r="D908" s="306">
        <f t="shared" ca="1" si="414"/>
        <v>-0.41134087388960744</v>
      </c>
      <c r="E908" s="307">
        <f t="shared" ca="1" si="415"/>
        <v>-1.7913620592632089</v>
      </c>
      <c r="F908" s="304">
        <f t="shared" ca="1" si="416"/>
        <v>1.8379824106612093</v>
      </c>
      <c r="G908" s="306">
        <f t="shared" ca="1" si="417"/>
        <v>6.8438305417829008</v>
      </c>
      <c r="H908" s="307">
        <f t="shared" ca="1" si="418"/>
        <v>-133.41393051651565</v>
      </c>
      <c r="I908" s="304">
        <f t="shared" ca="1" si="419"/>
        <v>133.58935164282482</v>
      </c>
      <c r="J908" s="306">
        <f t="shared" ca="1" si="420"/>
        <v>539.267207314762</v>
      </c>
      <c r="K908" s="307">
        <f t="shared" ca="1" si="421"/>
        <v>-11.380923204679256</v>
      </c>
      <c r="L908" s="304">
        <f t="shared" ca="1" si="406"/>
        <v>539.3872878535916</v>
      </c>
      <c r="M908" s="306">
        <f t="shared" ca="1" si="422"/>
        <v>-1.5195435311111565</v>
      </c>
      <c r="N908" s="304">
        <f t="shared" ca="1" si="423"/>
        <v>-87.063431119075375</v>
      </c>
      <c r="P908" s="310">
        <f t="shared" ca="1" si="424"/>
        <v>23</v>
      </c>
      <c r="Q908" s="304">
        <f t="shared" ca="1" si="425"/>
        <v>0</v>
      </c>
      <c r="R908" s="306">
        <f t="shared" ca="1" si="426"/>
        <v>0</v>
      </c>
      <c r="S908" s="307">
        <f t="shared" ca="1" si="427"/>
        <v>6.8519999999999914</v>
      </c>
      <c r="T908" s="304">
        <f t="shared" ca="1" si="407"/>
        <v>67.218119999999914</v>
      </c>
      <c r="U908" s="311">
        <f t="shared" ca="1" si="408"/>
        <v>0</v>
      </c>
      <c r="V908" s="306">
        <f t="shared" ca="1" si="409"/>
        <v>1.2263949568874339</v>
      </c>
      <c r="W908" s="304">
        <f t="shared" ca="1" si="410"/>
        <v>55.016170731379376</v>
      </c>
      <c r="Y908" s="314" t="str">
        <f t="shared" ca="1" si="428"/>
        <v/>
      </c>
      <c r="Z908" s="315" t="str">
        <f t="shared" ca="1" si="429"/>
        <v/>
      </c>
      <c r="AA908" s="316" t="str">
        <f t="shared" ca="1" si="430"/>
        <v/>
      </c>
      <c r="AC908" s="310" t="e">
        <f t="shared" ca="1" si="431"/>
        <v>#N/A</v>
      </c>
      <c r="AD908" s="323" t="e">
        <f t="shared" ca="1" si="432"/>
        <v>#N/A</v>
      </c>
      <c r="AE908" s="324" t="e">
        <f t="shared" ca="1" si="411"/>
        <v>#N/A</v>
      </c>
      <c r="AG908" s="306">
        <f t="shared" ca="1" si="433"/>
        <v>1.7679364253680969</v>
      </c>
      <c r="AH908" s="304">
        <f t="shared" ca="1" si="434"/>
        <v>-8.0291815111601412</v>
      </c>
    </row>
    <row r="909" spans="1:34" x14ac:dyDescent="0.2">
      <c r="A909" s="347">
        <f t="shared" ca="1" si="412"/>
        <v>1E-4</v>
      </c>
      <c r="B909" s="304">
        <f t="shared" ca="1" si="413"/>
        <v>39.415100000000749</v>
      </c>
      <c r="D909" s="306">
        <f t="shared" ca="1" si="414"/>
        <v>-0.41133949473981002</v>
      </c>
      <c r="E909" s="307">
        <f t="shared" ca="1" si="415"/>
        <v>-1.7913299825481577</v>
      </c>
      <c r="F909" s="304">
        <f t="shared" ca="1" si="416"/>
        <v>1.8379508389259993</v>
      </c>
      <c r="G909" s="306">
        <f t="shared" ca="1" si="417"/>
        <v>6.8437894078334267</v>
      </c>
      <c r="H909" s="307">
        <f t="shared" ca="1" si="418"/>
        <v>-133.4141096495139</v>
      </c>
      <c r="I909" s="304">
        <f t="shared" ca="1" si="419"/>
        <v>133.58952843329934</v>
      </c>
      <c r="J909" s="306">
        <f t="shared" ca="1" si="420"/>
        <v>539.267207314762</v>
      </c>
      <c r="K909" s="307">
        <f t="shared" ca="1" si="421"/>
        <v>-11.394264606687557</v>
      </c>
      <c r="L909" s="304">
        <f t="shared" ca="1" si="406"/>
        <v>539.38756951842117</v>
      </c>
      <c r="M909" s="306">
        <f t="shared" ca="1" si="422"/>
        <v>-1.5195439073156651</v>
      </c>
      <c r="N909" s="304">
        <f t="shared" ca="1" si="423"/>
        <v>-87.063452674005944</v>
      </c>
      <c r="P909" s="310">
        <f t="shared" ca="1" si="424"/>
        <v>23</v>
      </c>
      <c r="Q909" s="304">
        <f t="shared" ca="1" si="425"/>
        <v>0</v>
      </c>
      <c r="R909" s="306">
        <f t="shared" ca="1" si="426"/>
        <v>0</v>
      </c>
      <c r="S909" s="307">
        <f t="shared" ca="1" si="427"/>
        <v>6.8519999999999914</v>
      </c>
      <c r="T909" s="304">
        <f t="shared" ca="1" si="407"/>
        <v>67.218119999999914</v>
      </c>
      <c r="U909" s="311">
        <f t="shared" ca="1" si="408"/>
        <v>0</v>
      </c>
      <c r="V909" s="306">
        <f t="shared" ca="1" si="409"/>
        <v>1.2263965930718697</v>
      </c>
      <c r="W909" s="304">
        <f t="shared" ca="1" si="410"/>
        <v>55.016389746450152</v>
      </c>
      <c r="Y909" s="314" t="str">
        <f t="shared" ca="1" si="428"/>
        <v/>
      </c>
      <c r="Z909" s="315" t="str">
        <f t="shared" ca="1" si="429"/>
        <v/>
      </c>
      <c r="AA909" s="316" t="str">
        <f t="shared" ca="1" si="430"/>
        <v/>
      </c>
      <c r="AC909" s="310" t="e">
        <f t="shared" ca="1" si="431"/>
        <v>#N/A</v>
      </c>
      <c r="AD909" s="323" t="e">
        <f t="shared" ca="1" si="432"/>
        <v>#N/A</v>
      </c>
      <c r="AE909" s="324" t="e">
        <f t="shared" ca="1" si="411"/>
        <v>#N/A</v>
      </c>
      <c r="AG909" s="306">
        <f t="shared" ca="1" si="433"/>
        <v>1.7679046505004425</v>
      </c>
      <c r="AH909" s="304">
        <f t="shared" ca="1" si="434"/>
        <v>-8.0292134750991604</v>
      </c>
    </row>
    <row r="910" spans="1:34" x14ac:dyDescent="0.2">
      <c r="A910" s="347">
        <f t="shared" ca="1" si="412"/>
        <v>1E-4</v>
      </c>
      <c r="B910" s="304">
        <f t="shared" ca="1" si="413"/>
        <v>39.415200000000752</v>
      </c>
      <c r="D910" s="306">
        <f t="shared" ca="1" si="414"/>
        <v>-0.41133811557829986</v>
      </c>
      <c r="E910" s="307">
        <f t="shared" ca="1" si="415"/>
        <v>-1.7912979061024412</v>
      </c>
      <c r="F910" s="304">
        <f t="shared" ca="1" si="416"/>
        <v>1.8379192674691935</v>
      </c>
      <c r="G910" s="306">
        <f t="shared" ca="1" si="417"/>
        <v>6.8437482740218689</v>
      </c>
      <c r="H910" s="307">
        <f t="shared" ca="1" si="418"/>
        <v>-133.41428877930451</v>
      </c>
      <c r="I910" s="304">
        <f t="shared" ca="1" si="419"/>
        <v>133.58970522059639</v>
      </c>
      <c r="J910" s="306">
        <f t="shared" ca="1" si="420"/>
        <v>539.267207314762</v>
      </c>
      <c r="K910" s="307">
        <f t="shared" ca="1" si="421"/>
        <v>-11.407606026608997</v>
      </c>
      <c r="L910" s="304">
        <f t="shared" ca="1" si="406"/>
        <v>539.38785151347338</v>
      </c>
      <c r="M910" s="306">
        <f t="shared" ca="1" si="422"/>
        <v>-1.5195442835169168</v>
      </c>
      <c r="N910" s="304">
        <f t="shared" ca="1" si="423"/>
        <v>-87.063474228749925</v>
      </c>
      <c r="P910" s="310">
        <f t="shared" ca="1" si="424"/>
        <v>23</v>
      </c>
      <c r="Q910" s="304">
        <f t="shared" ca="1" si="425"/>
        <v>0</v>
      </c>
      <c r="R910" s="306">
        <f t="shared" ca="1" si="426"/>
        <v>0</v>
      </c>
      <c r="S910" s="307">
        <f t="shared" ca="1" si="427"/>
        <v>6.8519999999999914</v>
      </c>
      <c r="T910" s="304">
        <f t="shared" ca="1" si="407"/>
        <v>67.218119999999914</v>
      </c>
      <c r="U910" s="311">
        <f t="shared" ca="1" si="408"/>
        <v>0</v>
      </c>
      <c r="V910" s="306">
        <f t="shared" ca="1" si="409"/>
        <v>1.2263982292606868</v>
      </c>
      <c r="W910" s="304">
        <f t="shared" ca="1" si="410"/>
        <v>55.016608759681567</v>
      </c>
      <c r="Y910" s="314" t="str">
        <f t="shared" ca="1" si="428"/>
        <v/>
      </c>
      <c r="Z910" s="315" t="str">
        <f t="shared" ca="1" si="429"/>
        <v/>
      </c>
      <c r="AA910" s="316" t="str">
        <f t="shared" ca="1" si="430"/>
        <v/>
      </c>
      <c r="AC910" s="310" t="e">
        <f t="shared" ca="1" si="431"/>
        <v>#N/A</v>
      </c>
      <c r="AD910" s="323" t="e">
        <f t="shared" ca="1" si="432"/>
        <v>#N/A</v>
      </c>
      <c r="AE910" s="324" t="e">
        <f t="shared" ca="1" si="411"/>
        <v>#N/A</v>
      </c>
      <c r="AG910" s="306">
        <f t="shared" ca="1" si="433"/>
        <v>1.7678728758982114</v>
      </c>
      <c r="AH910" s="304">
        <f t="shared" ca="1" si="434"/>
        <v>-8.0292454387697347</v>
      </c>
    </row>
    <row r="911" spans="1:34" x14ac:dyDescent="0.2">
      <c r="A911" s="347">
        <f t="shared" ca="1" si="412"/>
        <v>1E-4</v>
      </c>
      <c r="B911" s="304">
        <f t="shared" ca="1" si="413"/>
        <v>39.415300000000755</v>
      </c>
      <c r="D911" s="306">
        <f t="shared" ca="1" si="414"/>
        <v>-0.41133673640507784</v>
      </c>
      <c r="E911" s="307">
        <f t="shared" ca="1" si="415"/>
        <v>-1.7912658299260578</v>
      </c>
      <c r="F911" s="304">
        <f t="shared" ca="1" si="416"/>
        <v>1.8378876962907906</v>
      </c>
      <c r="G911" s="306">
        <f t="shared" ca="1" si="417"/>
        <v>6.8437071403482284</v>
      </c>
      <c r="H911" s="307">
        <f t="shared" ca="1" si="418"/>
        <v>-133.41446790588751</v>
      </c>
      <c r="I911" s="304">
        <f t="shared" ca="1" si="419"/>
        <v>133.589882004716</v>
      </c>
      <c r="J911" s="306">
        <f t="shared" ca="1" si="420"/>
        <v>539.267207314762</v>
      </c>
      <c r="K911" s="307">
        <f t="shared" ca="1" si="421"/>
        <v>-11.420947464443257</v>
      </c>
      <c r="L911" s="304">
        <f t="shared" ca="1" si="406"/>
        <v>539.3881338387489</v>
      </c>
      <c r="M911" s="306">
        <f t="shared" ca="1" si="422"/>
        <v>-1.5195446597149118</v>
      </c>
      <c r="N911" s="304">
        <f t="shared" ca="1" si="423"/>
        <v>-87.063495783307289</v>
      </c>
      <c r="P911" s="310">
        <f t="shared" ca="1" si="424"/>
        <v>23</v>
      </c>
      <c r="Q911" s="304">
        <f t="shared" ca="1" si="425"/>
        <v>0</v>
      </c>
      <c r="R911" s="306">
        <f t="shared" ca="1" si="426"/>
        <v>0</v>
      </c>
      <c r="S911" s="307">
        <f t="shared" ca="1" si="427"/>
        <v>6.8519999999999914</v>
      </c>
      <c r="T911" s="304">
        <f t="shared" ca="1" si="407"/>
        <v>67.218119999999914</v>
      </c>
      <c r="U911" s="311">
        <f t="shared" ca="1" si="408"/>
        <v>0</v>
      </c>
      <c r="V911" s="306">
        <f t="shared" ca="1" si="409"/>
        <v>1.226399865453885</v>
      </c>
      <c r="W911" s="304">
        <f t="shared" ca="1" si="410"/>
        <v>55.016827771073601</v>
      </c>
      <c r="Y911" s="314" t="str">
        <f t="shared" ca="1" si="428"/>
        <v/>
      </c>
      <c r="Z911" s="315" t="str">
        <f t="shared" ca="1" si="429"/>
        <v/>
      </c>
      <c r="AA911" s="316" t="str">
        <f t="shared" ca="1" si="430"/>
        <v/>
      </c>
      <c r="AC911" s="310" t="e">
        <f t="shared" ca="1" si="431"/>
        <v>#N/A</v>
      </c>
      <c r="AD911" s="323" t="e">
        <f t="shared" ca="1" si="432"/>
        <v>#N/A</v>
      </c>
      <c r="AE911" s="324" t="e">
        <f t="shared" ca="1" si="411"/>
        <v>#N/A</v>
      </c>
      <c r="AG911" s="306">
        <f t="shared" ca="1" si="433"/>
        <v>1.7678411015613982</v>
      </c>
      <c r="AH911" s="304">
        <f t="shared" ca="1" si="434"/>
        <v>-8.0292774021718678</v>
      </c>
    </row>
    <row r="912" spans="1:34" x14ac:dyDescent="0.2">
      <c r="A912" s="347">
        <f t="shared" ca="1" si="412"/>
        <v>1E-4</v>
      </c>
      <c r="B912" s="304">
        <f t="shared" ca="1" si="413"/>
        <v>39.415400000000758</v>
      </c>
      <c r="D912" s="306">
        <f t="shared" ca="1" si="414"/>
        <v>-0.41133535722014253</v>
      </c>
      <c r="E912" s="307">
        <f t="shared" ca="1" si="415"/>
        <v>-1.7912337540190091</v>
      </c>
      <c r="F912" s="304">
        <f t="shared" ca="1" si="416"/>
        <v>1.8378561253907919</v>
      </c>
      <c r="G912" s="306">
        <f t="shared" ca="1" si="417"/>
        <v>6.8436660068125059</v>
      </c>
      <c r="H912" s="307">
        <f t="shared" ca="1" si="418"/>
        <v>-133.41464702926291</v>
      </c>
      <c r="I912" s="304">
        <f t="shared" ca="1" si="419"/>
        <v>133.59005878565819</v>
      </c>
      <c r="J912" s="306">
        <f t="shared" ca="1" si="420"/>
        <v>539.267207314762</v>
      </c>
      <c r="K912" s="307">
        <f t="shared" ca="1" si="421"/>
        <v>-11.434288920190015</v>
      </c>
      <c r="L912" s="304">
        <f t="shared" ca="1" si="406"/>
        <v>539.38841649424853</v>
      </c>
      <c r="M912" s="306">
        <f t="shared" ca="1" si="422"/>
        <v>-1.5195450359096501</v>
      </c>
      <c r="N912" s="304">
        <f t="shared" ca="1" si="423"/>
        <v>-87.063517337678064</v>
      </c>
      <c r="P912" s="310">
        <f t="shared" ca="1" si="424"/>
        <v>23</v>
      </c>
      <c r="Q912" s="304">
        <f t="shared" ca="1" si="425"/>
        <v>0</v>
      </c>
      <c r="R912" s="306">
        <f t="shared" ca="1" si="426"/>
        <v>0</v>
      </c>
      <c r="S912" s="307">
        <f t="shared" ca="1" si="427"/>
        <v>6.8519999999999914</v>
      </c>
      <c r="T912" s="304">
        <f t="shared" ca="1" si="407"/>
        <v>67.218119999999914</v>
      </c>
      <c r="U912" s="311">
        <f t="shared" ca="1" si="408"/>
        <v>0</v>
      </c>
      <c r="V912" s="306">
        <f t="shared" ca="1" si="409"/>
        <v>1.2264015016514638</v>
      </c>
      <c r="W912" s="304">
        <f t="shared" ca="1" si="410"/>
        <v>55.017046780626224</v>
      </c>
      <c r="Y912" s="314" t="str">
        <f t="shared" ca="1" si="428"/>
        <v/>
      </c>
      <c r="Z912" s="315" t="str">
        <f t="shared" ca="1" si="429"/>
        <v/>
      </c>
      <c r="AA912" s="316" t="str">
        <f t="shared" ca="1" si="430"/>
        <v/>
      </c>
      <c r="AC912" s="310" t="e">
        <f t="shared" ca="1" si="431"/>
        <v>#N/A</v>
      </c>
      <c r="AD912" s="323" t="e">
        <f t="shared" ca="1" si="432"/>
        <v>#N/A</v>
      </c>
      <c r="AE912" s="324" t="e">
        <f t="shared" ca="1" si="411"/>
        <v>#N/A</v>
      </c>
      <c r="AG912" s="306">
        <f t="shared" ca="1" si="433"/>
        <v>1.7678093274900064</v>
      </c>
      <c r="AH912" s="304">
        <f t="shared" ca="1" si="434"/>
        <v>-8.0293093653055561</v>
      </c>
    </row>
    <row r="913" spans="1:34" x14ac:dyDescent="0.2">
      <c r="A913" s="347">
        <f t="shared" ca="1" si="412"/>
        <v>1E-4</v>
      </c>
      <c r="B913" s="304">
        <f t="shared" ca="1" si="413"/>
        <v>39.415500000000762</v>
      </c>
      <c r="D913" s="306">
        <f t="shared" ca="1" si="414"/>
        <v>-0.41133397802349442</v>
      </c>
      <c r="E913" s="307">
        <f t="shared" ca="1" si="415"/>
        <v>-1.791201678381297</v>
      </c>
      <c r="F913" s="304">
        <f t="shared" ca="1" si="416"/>
        <v>1.8378245547691998</v>
      </c>
      <c r="G913" s="306">
        <f t="shared" ca="1" si="417"/>
        <v>6.8436248734147034</v>
      </c>
      <c r="H913" s="307">
        <f t="shared" ca="1" si="418"/>
        <v>-133.41482614943075</v>
      </c>
      <c r="I913" s="304">
        <f t="shared" ca="1" si="419"/>
        <v>133.59023556342302</v>
      </c>
      <c r="J913" s="306">
        <f t="shared" ca="1" si="420"/>
        <v>539.267207314762</v>
      </c>
      <c r="K913" s="307">
        <f t="shared" ca="1" si="421"/>
        <v>-11.44763039384895</v>
      </c>
      <c r="L913" s="304">
        <f t="shared" ca="1" si="406"/>
        <v>539.38869947997307</v>
      </c>
      <c r="M913" s="306">
        <f t="shared" ca="1" si="422"/>
        <v>-1.5195454121011316</v>
      </c>
      <c r="N913" s="304">
        <f t="shared" ca="1" si="423"/>
        <v>-87.063538891862251</v>
      </c>
      <c r="P913" s="310">
        <f t="shared" ca="1" si="424"/>
        <v>23</v>
      </c>
      <c r="Q913" s="304">
        <f t="shared" ca="1" si="425"/>
        <v>0</v>
      </c>
      <c r="R913" s="306">
        <f t="shared" ca="1" si="426"/>
        <v>0</v>
      </c>
      <c r="S913" s="307">
        <f t="shared" ca="1" si="427"/>
        <v>6.8519999999999914</v>
      </c>
      <c r="T913" s="304">
        <f t="shared" ca="1" si="407"/>
        <v>67.218119999999914</v>
      </c>
      <c r="U913" s="311">
        <f t="shared" ca="1" si="408"/>
        <v>0</v>
      </c>
      <c r="V913" s="306">
        <f t="shared" ca="1" si="409"/>
        <v>1.2264031378534237</v>
      </c>
      <c r="W913" s="304">
        <f t="shared" ca="1" si="410"/>
        <v>55.017265788339508</v>
      </c>
      <c r="Y913" s="314" t="str">
        <f t="shared" ca="1" si="428"/>
        <v/>
      </c>
      <c r="Z913" s="315" t="str">
        <f t="shared" ca="1" si="429"/>
        <v/>
      </c>
      <c r="AA913" s="316" t="str">
        <f t="shared" ca="1" si="430"/>
        <v/>
      </c>
      <c r="AC913" s="310" t="e">
        <f t="shared" ca="1" si="431"/>
        <v>#N/A</v>
      </c>
      <c r="AD913" s="323" t="e">
        <f t="shared" ca="1" si="432"/>
        <v>#N/A</v>
      </c>
      <c r="AE913" s="324" t="e">
        <f t="shared" ca="1" si="411"/>
        <v>#N/A</v>
      </c>
      <c r="AG913" s="306">
        <f t="shared" ca="1" si="433"/>
        <v>1.7677775536840379</v>
      </c>
      <c r="AH913" s="304">
        <f t="shared" ca="1" si="434"/>
        <v>-8.0293413281707959</v>
      </c>
    </row>
    <row r="914" spans="1:34" x14ac:dyDescent="0.2">
      <c r="A914" s="347">
        <f t="shared" ca="1" si="412"/>
        <v>1E-4</v>
      </c>
      <c r="B914" s="304">
        <f t="shared" ca="1" si="413"/>
        <v>39.415600000000765</v>
      </c>
      <c r="D914" s="306">
        <f t="shared" ca="1" si="414"/>
        <v>-0.41133259881513456</v>
      </c>
      <c r="E914" s="307">
        <f t="shared" ca="1" si="415"/>
        <v>-1.7911696030129143</v>
      </c>
      <c r="F914" s="304">
        <f t="shared" ca="1" si="416"/>
        <v>1.8377929844260081</v>
      </c>
      <c r="G914" s="306">
        <f t="shared" ca="1" si="417"/>
        <v>6.8435837401548216</v>
      </c>
      <c r="H914" s="307">
        <f t="shared" ca="1" si="418"/>
        <v>-133.41500526639106</v>
      </c>
      <c r="I914" s="304">
        <f t="shared" ca="1" si="419"/>
        <v>133.59041233801048</v>
      </c>
      <c r="J914" s="306">
        <f t="shared" ca="1" si="420"/>
        <v>539.267207314762</v>
      </c>
      <c r="K914" s="307">
        <f t="shared" ca="1" si="421"/>
        <v>-11.460971885419742</v>
      </c>
      <c r="L914" s="304">
        <f t="shared" ca="1" si="406"/>
        <v>539.38898279592331</v>
      </c>
      <c r="M914" s="306">
        <f t="shared" ca="1" si="422"/>
        <v>-1.5195457882893564</v>
      </c>
      <c r="N914" s="304">
        <f t="shared" ca="1" si="423"/>
        <v>-87.063560445859835</v>
      </c>
      <c r="P914" s="310">
        <f t="shared" ca="1" si="424"/>
        <v>23</v>
      </c>
      <c r="Q914" s="304">
        <f t="shared" ca="1" si="425"/>
        <v>0</v>
      </c>
      <c r="R914" s="306">
        <f t="shared" ca="1" si="426"/>
        <v>0</v>
      </c>
      <c r="S914" s="307">
        <f t="shared" ca="1" si="427"/>
        <v>6.8519999999999914</v>
      </c>
      <c r="T914" s="304">
        <f t="shared" ca="1" si="407"/>
        <v>67.218119999999914</v>
      </c>
      <c r="U914" s="311">
        <f t="shared" ca="1" si="408"/>
        <v>0</v>
      </c>
      <c r="V914" s="306">
        <f t="shared" ca="1" si="409"/>
        <v>1.2264047740597641</v>
      </c>
      <c r="W914" s="304">
        <f t="shared" ca="1" si="410"/>
        <v>55.017484794213381</v>
      </c>
      <c r="Y914" s="314" t="str">
        <f t="shared" ca="1" si="428"/>
        <v/>
      </c>
      <c r="Z914" s="315" t="str">
        <f t="shared" ca="1" si="429"/>
        <v/>
      </c>
      <c r="AA914" s="316" t="str">
        <f t="shared" ca="1" si="430"/>
        <v/>
      </c>
      <c r="AC914" s="310" t="e">
        <f t="shared" ca="1" si="431"/>
        <v>#N/A</v>
      </c>
      <c r="AD914" s="323" t="e">
        <f t="shared" ca="1" si="432"/>
        <v>#N/A</v>
      </c>
      <c r="AE914" s="324" t="e">
        <f t="shared" ca="1" si="411"/>
        <v>#N/A</v>
      </c>
      <c r="AG914" s="306">
        <f t="shared" ca="1" si="433"/>
        <v>1.7677457801434837</v>
      </c>
      <c r="AH914" s="304">
        <f t="shared" ca="1" si="434"/>
        <v>-8.0293732907675981</v>
      </c>
    </row>
    <row r="915" spans="1:34" x14ac:dyDescent="0.2">
      <c r="A915" s="347">
        <f t="shared" ca="1" si="412"/>
        <v>1E-4</v>
      </c>
      <c r="B915" s="304">
        <f t="shared" ca="1" si="413"/>
        <v>39.415700000000768</v>
      </c>
      <c r="D915" s="306">
        <f t="shared" ca="1" si="414"/>
        <v>-0.41133121959506314</v>
      </c>
      <c r="E915" s="307">
        <f t="shared" ca="1" si="415"/>
        <v>-1.7911375279138717</v>
      </c>
      <c r="F915" s="304">
        <f t="shared" ca="1" si="416"/>
        <v>1.8377614143612271</v>
      </c>
      <c r="G915" s="306">
        <f t="shared" ca="1" si="417"/>
        <v>6.8435426070328624</v>
      </c>
      <c r="H915" s="307">
        <f t="shared" ca="1" si="418"/>
        <v>-133.41518438014384</v>
      </c>
      <c r="I915" s="304">
        <f t="shared" ca="1" si="419"/>
        <v>133.59058910942062</v>
      </c>
      <c r="J915" s="306">
        <f t="shared" ca="1" si="420"/>
        <v>539.267207314762</v>
      </c>
      <c r="K915" s="307">
        <f t="shared" ca="1" si="421"/>
        <v>-11.474313394902069</v>
      </c>
      <c r="L915" s="304">
        <f t="shared" ca="1" si="406"/>
        <v>539.38926644210017</v>
      </c>
      <c r="M915" s="306">
        <f t="shared" ca="1" si="422"/>
        <v>-1.5195461644743247</v>
      </c>
      <c r="N915" s="304">
        <f t="shared" ca="1" si="423"/>
        <v>-87.063581999670831</v>
      </c>
      <c r="P915" s="310">
        <f t="shared" ca="1" si="424"/>
        <v>23</v>
      </c>
      <c r="Q915" s="304">
        <f t="shared" ca="1" si="425"/>
        <v>0</v>
      </c>
      <c r="R915" s="306">
        <f t="shared" ca="1" si="426"/>
        <v>0</v>
      </c>
      <c r="S915" s="307">
        <f t="shared" ca="1" si="427"/>
        <v>6.8519999999999914</v>
      </c>
      <c r="T915" s="304">
        <f t="shared" ca="1" si="407"/>
        <v>67.218119999999914</v>
      </c>
      <c r="U915" s="311">
        <f t="shared" ca="1" si="408"/>
        <v>0</v>
      </c>
      <c r="V915" s="306">
        <f t="shared" ca="1" si="409"/>
        <v>1.2264064102704859</v>
      </c>
      <c r="W915" s="304">
        <f t="shared" ca="1" si="410"/>
        <v>55.017703798247908</v>
      </c>
      <c r="Y915" s="314" t="str">
        <f t="shared" ca="1" si="428"/>
        <v/>
      </c>
      <c r="Z915" s="315" t="str">
        <f t="shared" ca="1" si="429"/>
        <v/>
      </c>
      <c r="AA915" s="316" t="str">
        <f t="shared" ca="1" si="430"/>
        <v/>
      </c>
      <c r="AC915" s="310" t="e">
        <f t="shared" ca="1" si="431"/>
        <v>#N/A</v>
      </c>
      <c r="AD915" s="323" t="e">
        <f t="shared" ca="1" si="432"/>
        <v>#N/A</v>
      </c>
      <c r="AE915" s="324" t="e">
        <f t="shared" ca="1" si="411"/>
        <v>#N/A</v>
      </c>
      <c r="AG915" s="306">
        <f t="shared" ca="1" si="433"/>
        <v>1.7677140068683581</v>
      </c>
      <c r="AH915" s="304">
        <f t="shared" ca="1" si="434"/>
        <v>-8.0294052530959501</v>
      </c>
    </row>
    <row r="916" spans="1:34" x14ac:dyDescent="0.2">
      <c r="A916" s="347">
        <f t="shared" ca="1" si="412"/>
        <v>1E-4</v>
      </c>
      <c r="B916" s="304">
        <f t="shared" ca="1" si="413"/>
        <v>39.415800000000772</v>
      </c>
      <c r="D916" s="306">
        <f t="shared" ca="1" si="414"/>
        <v>-0.41132984036327935</v>
      </c>
      <c r="E916" s="307">
        <f t="shared" ca="1" si="415"/>
        <v>-1.7911054530841568</v>
      </c>
      <c r="F916" s="304">
        <f t="shared" ca="1" si="416"/>
        <v>1.8377298445748449</v>
      </c>
      <c r="G916" s="306">
        <f t="shared" ca="1" si="417"/>
        <v>6.8435014740488258</v>
      </c>
      <c r="H916" s="307">
        <f t="shared" ca="1" si="418"/>
        <v>-133.41536349068915</v>
      </c>
      <c r="I916" s="304">
        <f t="shared" ca="1" si="419"/>
        <v>133.59076587765347</v>
      </c>
      <c r="J916" s="306">
        <f t="shared" ca="1" si="420"/>
        <v>539.267207314762</v>
      </c>
      <c r="K916" s="307">
        <f t="shared" ca="1" si="421"/>
        <v>-11.48765492229561</v>
      </c>
      <c r="L916" s="304">
        <f t="shared" ca="1" si="406"/>
        <v>539.38955041850431</v>
      </c>
      <c r="M916" s="306">
        <f t="shared" ca="1" si="422"/>
        <v>-1.5195465406560362</v>
      </c>
      <c r="N916" s="304">
        <f t="shared" ca="1" si="423"/>
        <v>-87.063603553295238</v>
      </c>
      <c r="P916" s="310">
        <f t="shared" ca="1" si="424"/>
        <v>23</v>
      </c>
      <c r="Q916" s="304">
        <f t="shared" ca="1" si="425"/>
        <v>0</v>
      </c>
      <c r="R916" s="306">
        <f t="shared" ca="1" si="426"/>
        <v>0</v>
      </c>
      <c r="S916" s="307">
        <f t="shared" ca="1" si="427"/>
        <v>6.8519999999999914</v>
      </c>
      <c r="T916" s="304">
        <f t="shared" ca="1" si="407"/>
        <v>67.218119999999914</v>
      </c>
      <c r="U916" s="311">
        <f t="shared" ca="1" si="408"/>
        <v>0</v>
      </c>
      <c r="V916" s="306">
        <f t="shared" ca="1" si="409"/>
        <v>1.2264080464855884</v>
      </c>
      <c r="W916" s="304">
        <f t="shared" ca="1" si="410"/>
        <v>55.017922800443074</v>
      </c>
      <c r="Y916" s="314" t="str">
        <f t="shared" ca="1" si="428"/>
        <v/>
      </c>
      <c r="Z916" s="315" t="str">
        <f t="shared" ca="1" si="429"/>
        <v/>
      </c>
      <c r="AA916" s="316" t="str">
        <f t="shared" ca="1" si="430"/>
        <v/>
      </c>
      <c r="AC916" s="310" t="e">
        <f t="shared" ca="1" si="431"/>
        <v>#N/A</v>
      </c>
      <c r="AD916" s="323" t="e">
        <f t="shared" ca="1" si="432"/>
        <v>#N/A</v>
      </c>
      <c r="AE916" s="324" t="e">
        <f t="shared" ca="1" si="411"/>
        <v>#N/A</v>
      </c>
      <c r="AG916" s="306">
        <f t="shared" ca="1" si="433"/>
        <v>1.7676822338586504</v>
      </c>
      <c r="AH916" s="304">
        <f t="shared" ca="1" si="434"/>
        <v>-8.0294372151558626</v>
      </c>
    </row>
    <row r="917" spans="1:34" x14ac:dyDescent="0.2">
      <c r="A917" s="347">
        <f t="shared" ca="1" si="412"/>
        <v>1E-4</v>
      </c>
      <c r="B917" s="304">
        <f t="shared" ca="1" si="413"/>
        <v>39.415900000000775</v>
      </c>
      <c r="D917" s="306">
        <f t="shared" ca="1" si="414"/>
        <v>-0.4113284611197856</v>
      </c>
      <c r="E917" s="307">
        <f t="shared" ca="1" si="415"/>
        <v>-1.7910733785237731</v>
      </c>
      <c r="F917" s="304">
        <f t="shared" ca="1" si="416"/>
        <v>1.8376982750668658</v>
      </c>
      <c r="G917" s="306">
        <f t="shared" ca="1" si="417"/>
        <v>6.8434603412027135</v>
      </c>
      <c r="H917" s="307">
        <f t="shared" ca="1" si="418"/>
        <v>-133.415542598027</v>
      </c>
      <c r="I917" s="304">
        <f t="shared" ca="1" si="419"/>
        <v>133.59094264270902</v>
      </c>
      <c r="J917" s="306">
        <f t="shared" ca="1" si="420"/>
        <v>539.267207314762</v>
      </c>
      <c r="K917" s="307">
        <f t="shared" ca="1" si="421"/>
        <v>-11.500996467600045</v>
      </c>
      <c r="L917" s="304">
        <f t="shared" ca="1" si="406"/>
        <v>539.38983472513667</v>
      </c>
      <c r="M917" s="306">
        <f t="shared" ca="1" si="422"/>
        <v>-1.5195469168344913</v>
      </c>
      <c r="N917" s="304">
        <f t="shared" ca="1" si="423"/>
        <v>-87.063625106733056</v>
      </c>
      <c r="P917" s="310">
        <f t="shared" ca="1" si="424"/>
        <v>23</v>
      </c>
      <c r="Q917" s="304">
        <f t="shared" ca="1" si="425"/>
        <v>0</v>
      </c>
      <c r="R917" s="306">
        <f t="shared" ca="1" si="426"/>
        <v>0</v>
      </c>
      <c r="S917" s="307">
        <f t="shared" ca="1" si="427"/>
        <v>6.8519999999999914</v>
      </c>
      <c r="T917" s="304">
        <f t="shared" ca="1" si="407"/>
        <v>67.218119999999914</v>
      </c>
      <c r="U917" s="311">
        <f t="shared" ca="1" si="408"/>
        <v>0</v>
      </c>
      <c r="V917" s="306">
        <f t="shared" ca="1" si="409"/>
        <v>1.2264096827050717</v>
      </c>
      <c r="W917" s="304">
        <f t="shared" ca="1" si="410"/>
        <v>55.018141800798851</v>
      </c>
      <c r="Y917" s="314" t="str">
        <f t="shared" ca="1" si="428"/>
        <v/>
      </c>
      <c r="Z917" s="315" t="str">
        <f t="shared" ca="1" si="429"/>
        <v/>
      </c>
      <c r="AA917" s="316" t="str">
        <f t="shared" ca="1" si="430"/>
        <v/>
      </c>
      <c r="AC917" s="310" t="e">
        <f t="shared" ca="1" si="431"/>
        <v>#N/A</v>
      </c>
      <c r="AD917" s="323" t="e">
        <f t="shared" ca="1" si="432"/>
        <v>#N/A</v>
      </c>
      <c r="AE917" s="324" t="e">
        <f t="shared" ca="1" si="411"/>
        <v>#N/A</v>
      </c>
      <c r="AG917" s="306">
        <f t="shared" ca="1" si="433"/>
        <v>1.7676504611143553</v>
      </c>
      <c r="AH917" s="304">
        <f t="shared" ca="1" si="434"/>
        <v>-8.0294691769473356</v>
      </c>
    </row>
    <row r="918" spans="1:34" x14ac:dyDescent="0.2">
      <c r="A918" s="347">
        <f t="shared" ca="1" si="412"/>
        <v>1E-4</v>
      </c>
      <c r="B918" s="304">
        <f t="shared" ca="1" si="413"/>
        <v>39.416000000000778</v>
      </c>
      <c r="D918" s="306">
        <f t="shared" ca="1" si="414"/>
        <v>-0.4113270818645805</v>
      </c>
      <c r="E918" s="307">
        <f t="shared" ca="1" si="415"/>
        <v>-1.7910413042327242</v>
      </c>
      <c r="F918" s="304">
        <f t="shared" ca="1" si="416"/>
        <v>1.8376667058372933</v>
      </c>
      <c r="G918" s="306">
        <f t="shared" ca="1" si="417"/>
        <v>6.8434192084945273</v>
      </c>
      <c r="H918" s="307">
        <f t="shared" ca="1" si="418"/>
        <v>-133.41572170215741</v>
      </c>
      <c r="I918" s="304">
        <f t="shared" ca="1" si="419"/>
        <v>133.59111940458732</v>
      </c>
      <c r="J918" s="306">
        <f t="shared" ca="1" si="420"/>
        <v>539.267207314762</v>
      </c>
      <c r="K918" s="307">
        <f t="shared" ca="1" si="421"/>
        <v>-11.514338030815054</v>
      </c>
      <c r="L918" s="304">
        <f t="shared" ca="1" si="406"/>
        <v>539.3901193619979</v>
      </c>
      <c r="M918" s="306">
        <f t="shared" ca="1" si="422"/>
        <v>-1.5195472930096898</v>
      </c>
      <c r="N918" s="304">
        <f t="shared" ca="1" si="423"/>
        <v>-87.063646659984286</v>
      </c>
      <c r="P918" s="310">
        <f t="shared" ca="1" si="424"/>
        <v>23</v>
      </c>
      <c r="Q918" s="304">
        <f t="shared" ca="1" si="425"/>
        <v>0</v>
      </c>
      <c r="R918" s="306">
        <f t="shared" ca="1" si="426"/>
        <v>0</v>
      </c>
      <c r="S918" s="307">
        <f t="shared" ca="1" si="427"/>
        <v>6.8519999999999914</v>
      </c>
      <c r="T918" s="304">
        <f t="shared" ca="1" si="407"/>
        <v>67.218119999999914</v>
      </c>
      <c r="U918" s="311">
        <f t="shared" ca="1" si="408"/>
        <v>0</v>
      </c>
      <c r="V918" s="306">
        <f t="shared" ca="1" si="409"/>
        <v>1.2264113189289358</v>
      </c>
      <c r="W918" s="304">
        <f t="shared" ca="1" si="410"/>
        <v>55.018360799315261</v>
      </c>
      <c r="Y918" s="314" t="str">
        <f t="shared" ca="1" si="428"/>
        <v/>
      </c>
      <c r="Z918" s="315" t="str">
        <f t="shared" ca="1" si="429"/>
        <v/>
      </c>
      <c r="AA918" s="316" t="str">
        <f t="shared" ca="1" si="430"/>
        <v/>
      </c>
      <c r="AC918" s="310" t="e">
        <f t="shared" ca="1" si="431"/>
        <v>#N/A</v>
      </c>
      <c r="AD918" s="323" t="e">
        <f t="shared" ca="1" si="432"/>
        <v>#N/A</v>
      </c>
      <c r="AE918" s="324" t="e">
        <f t="shared" ca="1" si="411"/>
        <v>#N/A</v>
      </c>
      <c r="AG918" s="306">
        <f t="shared" ca="1" si="433"/>
        <v>1.767618688635487</v>
      </c>
      <c r="AH918" s="304">
        <f t="shared" ca="1" si="434"/>
        <v>-8.0295011384703621</v>
      </c>
    </row>
    <row r="919" spans="1:34" x14ac:dyDescent="0.2">
      <c r="A919" s="347">
        <f t="shared" ca="1" si="412"/>
        <v>1E-4</v>
      </c>
      <c r="B919" s="304">
        <f t="shared" ca="1" si="413"/>
        <v>39.416100000000782</v>
      </c>
      <c r="D919" s="306">
        <f t="shared" ca="1" si="414"/>
        <v>-0.41132570259766477</v>
      </c>
      <c r="E919" s="307">
        <f t="shared" ca="1" si="415"/>
        <v>-1.7910092302110101</v>
      </c>
      <c r="F919" s="304">
        <f t="shared" ca="1" si="416"/>
        <v>1.8376351368861279</v>
      </c>
      <c r="G919" s="306">
        <f t="shared" ca="1" si="417"/>
        <v>6.8433780759242673</v>
      </c>
      <c r="H919" s="307">
        <f t="shared" ca="1" si="418"/>
        <v>-133.41590080308043</v>
      </c>
      <c r="I919" s="304">
        <f t="shared" ca="1" si="419"/>
        <v>133.5912961632884</v>
      </c>
      <c r="J919" s="306">
        <f t="shared" ca="1" si="420"/>
        <v>539.267207314762</v>
      </c>
      <c r="K919" s="307">
        <f t="shared" ca="1" si="421"/>
        <v>-11.527679611940316</v>
      </c>
      <c r="L919" s="304">
        <f t="shared" ca="1" si="406"/>
        <v>539.39040432908894</v>
      </c>
      <c r="M919" s="306">
        <f t="shared" ca="1" si="422"/>
        <v>-1.5195476691816321</v>
      </c>
      <c r="N919" s="304">
        <f t="shared" ca="1" si="423"/>
        <v>-87.063668213048956</v>
      </c>
      <c r="P919" s="310">
        <f t="shared" ca="1" si="424"/>
        <v>23</v>
      </c>
      <c r="Q919" s="304">
        <f t="shared" ca="1" si="425"/>
        <v>0</v>
      </c>
      <c r="R919" s="306">
        <f t="shared" ca="1" si="426"/>
        <v>0</v>
      </c>
      <c r="S919" s="307">
        <f t="shared" ca="1" si="427"/>
        <v>6.8519999999999914</v>
      </c>
      <c r="T919" s="304">
        <f t="shared" ca="1" si="407"/>
        <v>67.218119999999914</v>
      </c>
      <c r="U919" s="311">
        <f t="shared" ca="1" si="408"/>
        <v>0</v>
      </c>
      <c r="V919" s="306">
        <f t="shared" ca="1" si="409"/>
        <v>1.2264129551571805</v>
      </c>
      <c r="W919" s="304">
        <f t="shared" ca="1" si="410"/>
        <v>55.018579795992309</v>
      </c>
      <c r="Y919" s="314" t="str">
        <f t="shared" ca="1" si="428"/>
        <v/>
      </c>
      <c r="Z919" s="315" t="str">
        <f t="shared" ca="1" si="429"/>
        <v/>
      </c>
      <c r="AA919" s="316" t="str">
        <f t="shared" ca="1" si="430"/>
        <v/>
      </c>
      <c r="AC919" s="310" t="e">
        <f t="shared" ca="1" si="431"/>
        <v>#N/A</v>
      </c>
      <c r="AD919" s="323" t="e">
        <f t="shared" ca="1" si="432"/>
        <v>#N/A</v>
      </c>
      <c r="AE919" s="324" t="e">
        <f t="shared" ca="1" si="411"/>
        <v>#N/A</v>
      </c>
      <c r="AG919" s="306">
        <f t="shared" ca="1" si="433"/>
        <v>1.7675869164220384</v>
      </c>
      <c r="AH919" s="304">
        <f t="shared" ca="1" si="434"/>
        <v>-8.0295330997249454</v>
      </c>
    </row>
    <row r="920" spans="1:34" x14ac:dyDescent="0.2">
      <c r="A920" s="347">
        <f t="shared" ca="1" si="412"/>
        <v>1E-4</v>
      </c>
      <c r="B920" s="304">
        <f t="shared" ca="1" si="413"/>
        <v>39.416200000000785</v>
      </c>
      <c r="D920" s="306">
        <f t="shared" ca="1" si="414"/>
        <v>-0.41132432331903734</v>
      </c>
      <c r="E920" s="307">
        <f t="shared" ca="1" si="415"/>
        <v>-1.7909771564586254</v>
      </c>
      <c r="F920" s="304">
        <f t="shared" ca="1" si="416"/>
        <v>1.837603568213364</v>
      </c>
      <c r="G920" s="306">
        <f t="shared" ca="1" si="417"/>
        <v>6.8433369434919351</v>
      </c>
      <c r="H920" s="307">
        <f t="shared" ca="1" si="418"/>
        <v>-133.41607990079609</v>
      </c>
      <c r="I920" s="304">
        <f t="shared" ca="1" si="419"/>
        <v>133.59147291881234</v>
      </c>
      <c r="J920" s="306">
        <f t="shared" ca="1" si="420"/>
        <v>539.267207314762</v>
      </c>
      <c r="K920" s="307">
        <f t="shared" ca="1" si="421"/>
        <v>-11.54102121097551</v>
      </c>
      <c r="L920" s="304">
        <f t="shared" ca="1" si="406"/>
        <v>539.39068962641045</v>
      </c>
      <c r="M920" s="306">
        <f t="shared" ca="1" si="422"/>
        <v>-1.5195480453503176</v>
      </c>
      <c r="N920" s="304">
        <f t="shared" ca="1" si="423"/>
        <v>-87.063689765927023</v>
      </c>
      <c r="P920" s="310">
        <f t="shared" ca="1" si="424"/>
        <v>23</v>
      </c>
      <c r="Q920" s="304">
        <f t="shared" ca="1" si="425"/>
        <v>0</v>
      </c>
      <c r="R920" s="306">
        <f t="shared" ca="1" si="426"/>
        <v>0</v>
      </c>
      <c r="S920" s="307">
        <f t="shared" ca="1" si="427"/>
        <v>6.8519999999999914</v>
      </c>
      <c r="T920" s="304">
        <f t="shared" ca="1" si="407"/>
        <v>67.218119999999914</v>
      </c>
      <c r="U920" s="311">
        <f t="shared" ca="1" si="408"/>
        <v>0</v>
      </c>
      <c r="V920" s="306">
        <f t="shared" ca="1" si="409"/>
        <v>1.2264145913898061</v>
      </c>
      <c r="W920" s="304">
        <f t="shared" ca="1" si="410"/>
        <v>55.018798790830047</v>
      </c>
      <c r="Y920" s="314" t="str">
        <f t="shared" ca="1" si="428"/>
        <v/>
      </c>
      <c r="Z920" s="315" t="str">
        <f t="shared" ca="1" si="429"/>
        <v/>
      </c>
      <c r="AA920" s="316" t="str">
        <f t="shared" ca="1" si="430"/>
        <v/>
      </c>
      <c r="AC920" s="310" t="e">
        <f t="shared" ca="1" si="431"/>
        <v>#N/A</v>
      </c>
      <c r="AD920" s="323" t="e">
        <f t="shared" ca="1" si="432"/>
        <v>#N/A</v>
      </c>
      <c r="AE920" s="324" t="e">
        <f t="shared" ca="1" si="411"/>
        <v>#N/A</v>
      </c>
      <c r="AG920" s="306">
        <f t="shared" ca="1" si="433"/>
        <v>1.7675551444740059</v>
      </c>
      <c r="AH920" s="304">
        <f t="shared" ca="1" si="434"/>
        <v>-8.0295650607110893</v>
      </c>
    </row>
    <row r="921" spans="1:34" x14ac:dyDescent="0.2">
      <c r="A921" s="347">
        <f t="shared" ca="1" si="412"/>
        <v>1E-4</v>
      </c>
      <c r="B921" s="304">
        <f t="shared" ca="1" si="413"/>
        <v>39.416300000000788</v>
      </c>
      <c r="D921" s="306">
        <f t="shared" ca="1" si="414"/>
        <v>-0.41132294402870268</v>
      </c>
      <c r="E921" s="307">
        <f t="shared" ca="1" si="415"/>
        <v>-1.7909450829755649</v>
      </c>
      <c r="F921" s="304">
        <f t="shared" ca="1" si="416"/>
        <v>1.8375719998189983</v>
      </c>
      <c r="G921" s="306">
        <f t="shared" ca="1" si="417"/>
        <v>6.8432958111975326</v>
      </c>
      <c r="H921" s="307">
        <f t="shared" ca="1" si="418"/>
        <v>-133.41625899530439</v>
      </c>
      <c r="I921" s="304">
        <f t="shared" ca="1" si="419"/>
        <v>133.59164967115908</v>
      </c>
      <c r="J921" s="306">
        <f t="shared" ca="1" si="420"/>
        <v>539.267207314762</v>
      </c>
      <c r="K921" s="307">
        <f t="shared" ca="1" si="421"/>
        <v>-11.554362827920315</v>
      </c>
      <c r="L921" s="304">
        <f t="shared" ca="1" si="406"/>
        <v>539.39097525396335</v>
      </c>
      <c r="M921" s="306">
        <f t="shared" ca="1" si="422"/>
        <v>-1.5195484215157471</v>
      </c>
      <c r="N921" s="304">
        <f t="shared" ca="1" si="423"/>
        <v>-87.06371131861853</v>
      </c>
      <c r="P921" s="310">
        <f t="shared" ca="1" si="424"/>
        <v>23</v>
      </c>
      <c r="Q921" s="304">
        <f t="shared" ca="1" si="425"/>
        <v>0</v>
      </c>
      <c r="R921" s="306">
        <f t="shared" ca="1" si="426"/>
        <v>0</v>
      </c>
      <c r="S921" s="307">
        <f t="shared" ca="1" si="427"/>
        <v>6.8519999999999914</v>
      </c>
      <c r="T921" s="304">
        <f t="shared" ca="1" si="407"/>
        <v>67.218119999999914</v>
      </c>
      <c r="U921" s="311">
        <f t="shared" ca="1" si="408"/>
        <v>0</v>
      </c>
      <c r="V921" s="306">
        <f t="shared" ca="1" si="409"/>
        <v>1.2264162276268127</v>
      </c>
      <c r="W921" s="304">
        <f t="shared" ca="1" si="410"/>
        <v>55.019017783828403</v>
      </c>
      <c r="Y921" s="314" t="str">
        <f t="shared" ca="1" si="428"/>
        <v/>
      </c>
      <c r="Z921" s="315" t="str">
        <f t="shared" ca="1" si="429"/>
        <v/>
      </c>
      <c r="AA921" s="316" t="str">
        <f t="shared" ca="1" si="430"/>
        <v/>
      </c>
      <c r="AC921" s="310" t="e">
        <f t="shared" ca="1" si="431"/>
        <v>#N/A</v>
      </c>
      <c r="AD921" s="323" t="e">
        <f t="shared" ca="1" si="432"/>
        <v>#N/A</v>
      </c>
      <c r="AE921" s="324" t="e">
        <f t="shared" ca="1" si="411"/>
        <v>#N/A</v>
      </c>
      <c r="AG921" s="306">
        <f t="shared" ca="1" si="433"/>
        <v>1.7675233727913877</v>
      </c>
      <c r="AH921" s="304">
        <f t="shared" ca="1" si="434"/>
        <v>-8.0295970214287973</v>
      </c>
    </row>
    <row r="922" spans="1:34" x14ac:dyDescent="0.2">
      <c r="A922" s="347">
        <f t="shared" ca="1" si="412"/>
        <v>1E-4</v>
      </c>
      <c r="B922" s="304">
        <f t="shared" ca="1" si="413"/>
        <v>39.416400000000792</v>
      </c>
      <c r="D922" s="306">
        <f t="shared" ca="1" si="414"/>
        <v>-0.4113215647266556</v>
      </c>
      <c r="E922" s="307">
        <f t="shared" ca="1" si="415"/>
        <v>-1.7909130097618409</v>
      </c>
      <c r="F922" s="304">
        <f t="shared" ca="1" si="416"/>
        <v>1.8375404317030415</v>
      </c>
      <c r="G922" s="306">
        <f t="shared" ca="1" si="417"/>
        <v>6.8432546790410598</v>
      </c>
      <c r="H922" s="307">
        <f t="shared" ca="1" si="418"/>
        <v>-133.41643808660535</v>
      </c>
      <c r="I922" s="304">
        <f t="shared" ca="1" si="419"/>
        <v>133.59182642032863</v>
      </c>
      <c r="J922" s="306">
        <f t="shared" ca="1" si="420"/>
        <v>539.267207314762</v>
      </c>
      <c r="K922" s="307">
        <f t="shared" ca="1" si="421"/>
        <v>-11.56770446277441</v>
      </c>
      <c r="L922" s="304">
        <f t="shared" ca="1" si="406"/>
        <v>539.39126121174843</v>
      </c>
      <c r="M922" s="306">
        <f t="shared" ca="1" si="422"/>
        <v>-1.5195487976779201</v>
      </c>
      <c r="N922" s="304">
        <f t="shared" ca="1" si="423"/>
        <v>-87.063732871123449</v>
      </c>
      <c r="P922" s="310">
        <f t="shared" ca="1" si="424"/>
        <v>23</v>
      </c>
      <c r="Q922" s="304">
        <f t="shared" ca="1" si="425"/>
        <v>0</v>
      </c>
      <c r="R922" s="306">
        <f t="shared" ca="1" si="426"/>
        <v>0</v>
      </c>
      <c r="S922" s="307">
        <f t="shared" ca="1" si="427"/>
        <v>6.8519999999999914</v>
      </c>
      <c r="T922" s="304">
        <f t="shared" ca="1" si="407"/>
        <v>67.218119999999914</v>
      </c>
      <c r="U922" s="311">
        <f t="shared" ca="1" si="408"/>
        <v>0</v>
      </c>
      <c r="V922" s="306">
        <f t="shared" ca="1" si="409"/>
        <v>1.2264178638681997</v>
      </c>
      <c r="W922" s="304">
        <f t="shared" ca="1" si="410"/>
        <v>55.019236774987377</v>
      </c>
      <c r="Y922" s="314" t="str">
        <f t="shared" ca="1" si="428"/>
        <v/>
      </c>
      <c r="Z922" s="315" t="str">
        <f t="shared" ca="1" si="429"/>
        <v/>
      </c>
      <c r="AA922" s="316" t="str">
        <f t="shared" ca="1" si="430"/>
        <v/>
      </c>
      <c r="AC922" s="310" t="e">
        <f t="shared" ca="1" si="431"/>
        <v>#N/A</v>
      </c>
      <c r="AD922" s="323" t="e">
        <f t="shared" ca="1" si="432"/>
        <v>#N/A</v>
      </c>
      <c r="AE922" s="324" t="e">
        <f t="shared" ca="1" si="411"/>
        <v>#N/A</v>
      </c>
      <c r="AG922" s="306">
        <f t="shared" ca="1" si="433"/>
        <v>1.7674916013741875</v>
      </c>
      <c r="AH922" s="304">
        <f t="shared" ca="1" si="434"/>
        <v>-8.0296289818780604</v>
      </c>
    </row>
    <row r="923" spans="1:34" x14ac:dyDescent="0.2">
      <c r="A923" s="347">
        <f t="shared" ca="1" si="412"/>
        <v>1E-4</v>
      </c>
      <c r="B923" s="304">
        <f t="shared" ca="1" si="413"/>
        <v>39.416500000000795</v>
      </c>
      <c r="D923" s="306">
        <f t="shared" ca="1" si="414"/>
        <v>-0.41132018541290033</v>
      </c>
      <c r="E923" s="307">
        <f t="shared" ca="1" si="415"/>
        <v>-1.7908809368174481</v>
      </c>
      <c r="F923" s="304">
        <f t="shared" ca="1" si="416"/>
        <v>1.8375088638654899</v>
      </c>
      <c r="G923" s="306">
        <f t="shared" ca="1" si="417"/>
        <v>6.8432135470225184</v>
      </c>
      <c r="H923" s="307">
        <f t="shared" ca="1" si="418"/>
        <v>-133.41661717469904</v>
      </c>
      <c r="I923" s="304">
        <f t="shared" ca="1" si="419"/>
        <v>133.59200316632112</v>
      </c>
      <c r="J923" s="306">
        <f t="shared" ca="1" si="420"/>
        <v>539.267207314762</v>
      </c>
      <c r="K923" s="307">
        <f t="shared" ca="1" si="421"/>
        <v>-11.581046115537475</v>
      </c>
      <c r="L923" s="304">
        <f t="shared" ca="1" si="406"/>
        <v>539.39154749976638</v>
      </c>
      <c r="M923" s="306">
        <f t="shared" ca="1" si="422"/>
        <v>-1.5195491738368365</v>
      </c>
      <c r="N923" s="304">
        <f t="shared" ca="1" si="423"/>
        <v>-87.063754423441793</v>
      </c>
      <c r="P923" s="310">
        <f t="shared" ca="1" si="424"/>
        <v>23</v>
      </c>
      <c r="Q923" s="304">
        <f t="shared" ca="1" si="425"/>
        <v>0</v>
      </c>
      <c r="R923" s="306">
        <f t="shared" ca="1" si="426"/>
        <v>0</v>
      </c>
      <c r="S923" s="307">
        <f t="shared" ca="1" si="427"/>
        <v>6.8519999999999914</v>
      </c>
      <c r="T923" s="304">
        <f t="shared" ca="1" si="407"/>
        <v>67.218119999999914</v>
      </c>
      <c r="U923" s="311">
        <f t="shared" ca="1" si="408"/>
        <v>0</v>
      </c>
      <c r="V923" s="306">
        <f t="shared" ca="1" si="409"/>
        <v>1.2264195001139675</v>
      </c>
      <c r="W923" s="304">
        <f t="shared" ca="1" si="410"/>
        <v>55.019455764307025</v>
      </c>
      <c r="Y923" s="314" t="str">
        <f t="shared" ca="1" si="428"/>
        <v/>
      </c>
      <c r="Z923" s="315" t="str">
        <f t="shared" ca="1" si="429"/>
        <v/>
      </c>
      <c r="AA923" s="316" t="str">
        <f t="shared" ca="1" si="430"/>
        <v/>
      </c>
      <c r="AC923" s="310" t="e">
        <f t="shared" ca="1" si="431"/>
        <v>#N/A</v>
      </c>
      <c r="AD923" s="323" t="e">
        <f t="shared" ca="1" si="432"/>
        <v>#N/A</v>
      </c>
      <c r="AE923" s="324" t="e">
        <f t="shared" ca="1" si="411"/>
        <v>#N/A</v>
      </c>
      <c r="AG923" s="306">
        <f t="shared" ca="1" si="433"/>
        <v>1.767459830222414</v>
      </c>
      <c r="AH923" s="304">
        <f t="shared" ca="1" si="434"/>
        <v>-8.0296609420588805</v>
      </c>
    </row>
    <row r="924" spans="1:34" x14ac:dyDescent="0.2">
      <c r="A924" s="347">
        <f t="shared" ca="1" si="412"/>
        <v>1E-4</v>
      </c>
      <c r="B924" s="304">
        <f t="shared" ca="1" si="413"/>
        <v>39.416600000000798</v>
      </c>
      <c r="D924" s="306">
        <f t="shared" ca="1" si="414"/>
        <v>-0.41131880608743776</v>
      </c>
      <c r="E924" s="307">
        <f t="shared" ca="1" si="415"/>
        <v>-1.7908488641423848</v>
      </c>
      <c r="F924" s="304">
        <f t="shared" ca="1" si="416"/>
        <v>1.8374772963063422</v>
      </c>
      <c r="G924" s="306">
        <f t="shared" ca="1" si="417"/>
        <v>6.8431724151419093</v>
      </c>
      <c r="H924" s="307">
        <f t="shared" ca="1" si="418"/>
        <v>-133.41679625958545</v>
      </c>
      <c r="I924" s="304">
        <f t="shared" ca="1" si="419"/>
        <v>133.59217990913649</v>
      </c>
      <c r="J924" s="306">
        <f t="shared" ca="1" si="420"/>
        <v>539.267207314762</v>
      </c>
      <c r="K924" s="307">
        <f t="shared" ca="1" si="421"/>
        <v>-11.59438778620919</v>
      </c>
      <c r="L924" s="304">
        <f t="shared" ca="1" si="406"/>
        <v>539.39183411801798</v>
      </c>
      <c r="M924" s="306">
        <f t="shared" ca="1" si="422"/>
        <v>-1.5195495499924969</v>
      </c>
      <c r="N924" s="304">
        <f t="shared" ca="1" si="423"/>
        <v>-87.063775975573563</v>
      </c>
      <c r="P924" s="310">
        <f t="shared" ca="1" si="424"/>
        <v>23</v>
      </c>
      <c r="Q924" s="304">
        <f t="shared" ca="1" si="425"/>
        <v>0</v>
      </c>
      <c r="R924" s="306">
        <f t="shared" ca="1" si="426"/>
        <v>0</v>
      </c>
      <c r="S924" s="307">
        <f t="shared" ca="1" si="427"/>
        <v>6.8519999999999914</v>
      </c>
      <c r="T924" s="304">
        <f t="shared" ca="1" si="407"/>
        <v>67.218119999999914</v>
      </c>
      <c r="U924" s="311">
        <f t="shared" ca="1" si="408"/>
        <v>0</v>
      </c>
      <c r="V924" s="306">
        <f t="shared" ca="1" si="409"/>
        <v>1.2264211363641158</v>
      </c>
      <c r="W924" s="304">
        <f t="shared" ca="1" si="410"/>
        <v>55.019674751787292</v>
      </c>
      <c r="Y924" s="314" t="str">
        <f t="shared" ca="1" si="428"/>
        <v/>
      </c>
      <c r="Z924" s="315" t="str">
        <f t="shared" ca="1" si="429"/>
        <v/>
      </c>
      <c r="AA924" s="316" t="str">
        <f t="shared" ca="1" si="430"/>
        <v/>
      </c>
      <c r="AC924" s="310" t="e">
        <f t="shared" ca="1" si="431"/>
        <v>#N/A</v>
      </c>
      <c r="AD924" s="323" t="e">
        <f t="shared" ca="1" si="432"/>
        <v>#N/A</v>
      </c>
      <c r="AE924" s="324" t="e">
        <f t="shared" ca="1" si="411"/>
        <v>#N/A</v>
      </c>
      <c r="AG924" s="306">
        <f t="shared" ca="1" si="433"/>
        <v>1.7674280593360496</v>
      </c>
      <c r="AH924" s="304">
        <f t="shared" ca="1" si="434"/>
        <v>-8.0296929019712628</v>
      </c>
    </row>
    <row r="925" spans="1:34" x14ac:dyDescent="0.2">
      <c r="A925" s="347">
        <f t="shared" ca="1" si="412"/>
        <v>1E-4</v>
      </c>
      <c r="B925" s="304">
        <f t="shared" ca="1" si="413"/>
        <v>39.416700000000802</v>
      </c>
      <c r="D925" s="306">
        <f t="shared" ca="1" si="414"/>
        <v>-0.41131742675026467</v>
      </c>
      <c r="E925" s="307">
        <f t="shared" ca="1" si="415"/>
        <v>-1.7908167917366544</v>
      </c>
      <c r="F925" s="304">
        <f t="shared" ca="1" si="416"/>
        <v>1.8374457290256014</v>
      </c>
      <c r="G925" s="306">
        <f t="shared" ca="1" si="417"/>
        <v>6.8431312833992344</v>
      </c>
      <c r="H925" s="307">
        <f t="shared" ca="1" si="418"/>
        <v>-133.41697534126462</v>
      </c>
      <c r="I925" s="304">
        <f t="shared" ca="1" si="419"/>
        <v>133.5923566487748</v>
      </c>
      <c r="J925" s="306">
        <f t="shared" ca="1" si="420"/>
        <v>539.267207314762</v>
      </c>
      <c r="K925" s="307">
        <f t="shared" ca="1" si="421"/>
        <v>-11.607729474789233</v>
      </c>
      <c r="L925" s="304">
        <f t="shared" ca="1" si="406"/>
        <v>539.39212106650427</v>
      </c>
      <c r="M925" s="306">
        <f t="shared" ca="1" si="422"/>
        <v>-1.5195499261449013</v>
      </c>
      <c r="N925" s="304">
        <f t="shared" ca="1" si="423"/>
        <v>-87.063797527518787</v>
      </c>
      <c r="P925" s="310">
        <f t="shared" ca="1" si="424"/>
        <v>23</v>
      </c>
      <c r="Q925" s="304">
        <f t="shared" ca="1" si="425"/>
        <v>0</v>
      </c>
      <c r="R925" s="306">
        <f t="shared" ca="1" si="426"/>
        <v>0</v>
      </c>
      <c r="S925" s="307">
        <f t="shared" ca="1" si="427"/>
        <v>6.8519999999999914</v>
      </c>
      <c r="T925" s="304">
        <f t="shared" ca="1" si="407"/>
        <v>67.218119999999914</v>
      </c>
      <c r="U925" s="311">
        <f t="shared" ca="1" si="408"/>
        <v>0</v>
      </c>
      <c r="V925" s="306">
        <f t="shared" ca="1" si="409"/>
        <v>1.2264227726186447</v>
      </c>
      <c r="W925" s="304">
        <f t="shared" ca="1" si="410"/>
        <v>55.01989373742822</v>
      </c>
      <c r="Y925" s="314" t="str">
        <f t="shared" ca="1" si="428"/>
        <v/>
      </c>
      <c r="Z925" s="315" t="str">
        <f t="shared" ca="1" si="429"/>
        <v/>
      </c>
      <c r="AA925" s="316" t="str">
        <f t="shared" ca="1" si="430"/>
        <v/>
      </c>
      <c r="AC925" s="310" t="e">
        <f t="shared" ca="1" si="431"/>
        <v>#N/A</v>
      </c>
      <c r="AD925" s="323" t="e">
        <f t="shared" ca="1" si="432"/>
        <v>#N/A</v>
      </c>
      <c r="AE925" s="324" t="e">
        <f t="shared" ca="1" si="411"/>
        <v>#N/A</v>
      </c>
      <c r="AG925" s="306">
        <f t="shared" ca="1" si="433"/>
        <v>1.7673962887151102</v>
      </c>
      <c r="AH925" s="304">
        <f t="shared" ca="1" si="434"/>
        <v>-8.0297248616152022</v>
      </c>
    </row>
    <row r="926" spans="1:34" x14ac:dyDescent="0.2">
      <c r="A926" s="347">
        <f t="shared" ca="1" si="412"/>
        <v>1E-4</v>
      </c>
      <c r="B926" s="304">
        <f t="shared" ca="1" si="413"/>
        <v>39.416800000000805</v>
      </c>
      <c r="D926" s="306">
        <f t="shared" ca="1" si="414"/>
        <v>-0.41131604740138189</v>
      </c>
      <c r="E926" s="307">
        <f t="shared" ca="1" si="415"/>
        <v>-1.7907847196002535</v>
      </c>
      <c r="F926" s="304">
        <f t="shared" ca="1" si="416"/>
        <v>1.8374141620232642</v>
      </c>
      <c r="G926" s="306">
        <f t="shared" ca="1" si="417"/>
        <v>6.8430901517944944</v>
      </c>
      <c r="H926" s="307">
        <f t="shared" ca="1" si="418"/>
        <v>-133.41715441973659</v>
      </c>
      <c r="I926" s="304">
        <f t="shared" ca="1" si="419"/>
        <v>133.5925333852361</v>
      </c>
      <c r="J926" s="306">
        <f t="shared" ca="1" si="420"/>
        <v>539.267207314762</v>
      </c>
      <c r="K926" s="307">
        <f t="shared" ca="1" si="421"/>
        <v>-11.621071181277284</v>
      </c>
      <c r="L926" s="304">
        <f t="shared" ca="1" si="406"/>
        <v>539.39240834522582</v>
      </c>
      <c r="M926" s="306">
        <f t="shared" ca="1" si="422"/>
        <v>-1.5195503022940491</v>
      </c>
      <c r="N926" s="304">
        <f t="shared" ca="1" si="423"/>
        <v>-87.063819079277422</v>
      </c>
      <c r="P926" s="310">
        <f t="shared" ca="1" si="424"/>
        <v>23</v>
      </c>
      <c r="Q926" s="304">
        <f t="shared" ca="1" si="425"/>
        <v>0</v>
      </c>
      <c r="R926" s="306">
        <f t="shared" ca="1" si="426"/>
        <v>0</v>
      </c>
      <c r="S926" s="307">
        <f t="shared" ca="1" si="427"/>
        <v>6.8519999999999914</v>
      </c>
      <c r="T926" s="304">
        <f t="shared" ca="1" si="407"/>
        <v>67.218119999999914</v>
      </c>
      <c r="U926" s="311">
        <f t="shared" ca="1" si="408"/>
        <v>0</v>
      </c>
      <c r="V926" s="306">
        <f t="shared" ca="1" si="409"/>
        <v>1.2264244088775547</v>
      </c>
      <c r="W926" s="304">
        <f t="shared" ca="1" si="410"/>
        <v>55.020112721229836</v>
      </c>
      <c r="Y926" s="314" t="str">
        <f t="shared" ca="1" si="428"/>
        <v/>
      </c>
      <c r="Z926" s="315" t="str">
        <f t="shared" ca="1" si="429"/>
        <v/>
      </c>
      <c r="AA926" s="316" t="str">
        <f t="shared" ca="1" si="430"/>
        <v/>
      </c>
      <c r="AC926" s="310" t="e">
        <f t="shared" ca="1" si="431"/>
        <v>#N/A</v>
      </c>
      <c r="AD926" s="323" t="e">
        <f t="shared" ca="1" si="432"/>
        <v>#N/A</v>
      </c>
      <c r="AE926" s="324" t="e">
        <f t="shared" ca="1" si="411"/>
        <v>#N/A</v>
      </c>
      <c r="AG926" s="306">
        <f t="shared" ca="1" si="433"/>
        <v>1.7673645183595852</v>
      </c>
      <c r="AH926" s="304">
        <f t="shared" ca="1" si="434"/>
        <v>-8.029756820990702</v>
      </c>
    </row>
    <row r="927" spans="1:34" x14ac:dyDescent="0.2">
      <c r="A927" s="347">
        <f t="shared" ca="1" si="412"/>
        <v>1E-4</v>
      </c>
      <c r="B927" s="304">
        <f t="shared" ca="1" si="413"/>
        <v>39.416900000000808</v>
      </c>
      <c r="D927" s="306">
        <f t="shared" ca="1" si="414"/>
        <v>-0.41131466804079381</v>
      </c>
      <c r="E927" s="307">
        <f t="shared" ca="1" si="415"/>
        <v>-1.790752647733175</v>
      </c>
      <c r="F927" s="304">
        <f t="shared" ca="1" si="416"/>
        <v>1.8373825952993257</v>
      </c>
      <c r="G927" s="306">
        <f t="shared" ca="1" si="417"/>
        <v>6.8430490203276904</v>
      </c>
      <c r="H927" s="307">
        <f t="shared" ca="1" si="418"/>
        <v>-133.41733349500137</v>
      </c>
      <c r="I927" s="304">
        <f t="shared" ca="1" si="419"/>
        <v>133.59271011852039</v>
      </c>
      <c r="J927" s="306">
        <f t="shared" ca="1" si="420"/>
        <v>539.267207314762</v>
      </c>
      <c r="K927" s="307">
        <f t="shared" ca="1" si="421"/>
        <v>-11.63441290567302</v>
      </c>
      <c r="L927" s="304">
        <f t="shared" ca="1" si="406"/>
        <v>539.39269595418341</v>
      </c>
      <c r="M927" s="306">
        <f t="shared" ca="1" si="422"/>
        <v>-1.5195506784399411</v>
      </c>
      <c r="N927" s="304">
        <f t="shared" ca="1" si="423"/>
        <v>-87.063840630849526</v>
      </c>
      <c r="P927" s="310">
        <f t="shared" ca="1" si="424"/>
        <v>23</v>
      </c>
      <c r="Q927" s="304">
        <f t="shared" ca="1" si="425"/>
        <v>0</v>
      </c>
      <c r="R927" s="306">
        <f t="shared" ca="1" si="426"/>
        <v>0</v>
      </c>
      <c r="S927" s="307">
        <f t="shared" ca="1" si="427"/>
        <v>6.8519999999999914</v>
      </c>
      <c r="T927" s="304">
        <f t="shared" ca="1" si="407"/>
        <v>67.218119999999914</v>
      </c>
      <c r="U927" s="311">
        <f t="shared" ca="1" si="408"/>
        <v>0</v>
      </c>
      <c r="V927" s="306">
        <f t="shared" ca="1" si="409"/>
        <v>1.2264260451408446</v>
      </c>
      <c r="W927" s="304">
        <f t="shared" ca="1" si="410"/>
        <v>55.020331703192085</v>
      </c>
      <c r="Y927" s="314" t="str">
        <f t="shared" ca="1" si="428"/>
        <v/>
      </c>
      <c r="Z927" s="315" t="str">
        <f t="shared" ca="1" si="429"/>
        <v/>
      </c>
      <c r="AA927" s="316" t="str">
        <f t="shared" ca="1" si="430"/>
        <v/>
      </c>
      <c r="AC927" s="310" t="e">
        <f t="shared" ca="1" si="431"/>
        <v>#N/A</v>
      </c>
      <c r="AD927" s="323" t="e">
        <f t="shared" ca="1" si="432"/>
        <v>#N/A</v>
      </c>
      <c r="AE927" s="324" t="e">
        <f t="shared" ca="1" si="411"/>
        <v>#N/A</v>
      </c>
      <c r="AG927" s="306">
        <f t="shared" ca="1" si="433"/>
        <v>1.767332748269471</v>
      </c>
      <c r="AH927" s="304">
        <f t="shared" ca="1" si="434"/>
        <v>-8.0297887800977676</v>
      </c>
    </row>
    <row r="928" spans="1:34" x14ac:dyDescent="0.2">
      <c r="A928" s="347">
        <f t="shared" ca="1" si="412"/>
        <v>1E-4</v>
      </c>
      <c r="B928" s="304">
        <f t="shared" ca="1" si="413"/>
        <v>39.417000000000812</v>
      </c>
      <c r="D928" s="306">
        <f t="shared" ca="1" si="414"/>
        <v>-0.41131328866849542</v>
      </c>
      <c r="E928" s="307">
        <f t="shared" ca="1" si="415"/>
        <v>-1.7907205761354295</v>
      </c>
      <c r="F928" s="304">
        <f t="shared" ca="1" si="416"/>
        <v>1.8373510288537946</v>
      </c>
      <c r="G928" s="306">
        <f t="shared" ca="1" si="417"/>
        <v>6.843007888998824</v>
      </c>
      <c r="H928" s="307">
        <f t="shared" ca="1" si="418"/>
        <v>-133.41751256705899</v>
      </c>
      <c r="I928" s="304">
        <f t="shared" ca="1" si="419"/>
        <v>133.5928868486277</v>
      </c>
      <c r="J928" s="306">
        <f t="shared" ca="1" si="420"/>
        <v>539.267207314762</v>
      </c>
      <c r="K928" s="307">
        <f t="shared" ca="1" si="421"/>
        <v>-11.647754647976123</v>
      </c>
      <c r="L928" s="304">
        <f t="shared" ca="1" si="406"/>
        <v>539.39298389337796</v>
      </c>
      <c r="M928" s="306">
        <f t="shared" ca="1" si="422"/>
        <v>-1.5195510545825768</v>
      </c>
      <c r="N928" s="304">
        <f t="shared" ca="1" si="423"/>
        <v>-87.063862182235042</v>
      </c>
      <c r="P928" s="310">
        <f t="shared" ca="1" si="424"/>
        <v>23</v>
      </c>
      <c r="Q928" s="304">
        <f t="shared" ca="1" si="425"/>
        <v>0</v>
      </c>
      <c r="R928" s="306">
        <f t="shared" ca="1" si="426"/>
        <v>0</v>
      </c>
      <c r="S928" s="307">
        <f t="shared" ca="1" si="427"/>
        <v>6.8519999999999914</v>
      </c>
      <c r="T928" s="304">
        <f t="shared" ca="1" si="407"/>
        <v>67.218119999999914</v>
      </c>
      <c r="U928" s="311">
        <f t="shared" ca="1" si="408"/>
        <v>0</v>
      </c>
      <c r="V928" s="306">
        <f t="shared" ca="1" si="409"/>
        <v>1.2264276814085153</v>
      </c>
      <c r="W928" s="304">
        <f t="shared" ca="1" si="410"/>
        <v>55.020550683315008</v>
      </c>
      <c r="Y928" s="314" t="str">
        <f t="shared" ca="1" si="428"/>
        <v/>
      </c>
      <c r="Z928" s="315" t="str">
        <f t="shared" ca="1" si="429"/>
        <v/>
      </c>
      <c r="AA928" s="316" t="str">
        <f t="shared" ca="1" si="430"/>
        <v/>
      </c>
      <c r="AC928" s="310" t="e">
        <f t="shared" ca="1" si="431"/>
        <v>#N/A</v>
      </c>
      <c r="AD928" s="323" t="e">
        <f t="shared" ca="1" si="432"/>
        <v>#N/A</v>
      </c>
      <c r="AE928" s="324" t="e">
        <f t="shared" ca="1" si="411"/>
        <v>#N/A</v>
      </c>
      <c r="AG928" s="306">
        <f t="shared" ca="1" si="433"/>
        <v>1.7673009784447782</v>
      </c>
      <c r="AH928" s="304">
        <f t="shared" ca="1" si="434"/>
        <v>-8.029820738936392</v>
      </c>
    </row>
    <row r="929" spans="1:34" x14ac:dyDescent="0.2">
      <c r="A929" s="347">
        <f t="shared" ca="1" si="412"/>
        <v>1E-4</v>
      </c>
      <c r="B929" s="304">
        <f t="shared" ca="1" si="413"/>
        <v>39.417100000000815</v>
      </c>
      <c r="D929" s="306">
        <f t="shared" ca="1" si="414"/>
        <v>-0.41131190928449107</v>
      </c>
      <c r="E929" s="307">
        <f t="shared" ca="1" si="415"/>
        <v>-1.7906885048070116</v>
      </c>
      <c r="F929" s="304">
        <f t="shared" ca="1" si="416"/>
        <v>1.8373194626866673</v>
      </c>
      <c r="G929" s="306">
        <f t="shared" ca="1" si="417"/>
        <v>6.8429667578078952</v>
      </c>
      <c r="H929" s="307">
        <f t="shared" ca="1" si="418"/>
        <v>-133.41769163590948</v>
      </c>
      <c r="I929" s="304">
        <f t="shared" ca="1" si="419"/>
        <v>133.59306357555803</v>
      </c>
      <c r="J929" s="306">
        <f t="shared" ca="1" si="420"/>
        <v>539.267207314762</v>
      </c>
      <c r="K929" s="307">
        <f t="shared" ca="1" si="421"/>
        <v>-11.661096408186271</v>
      </c>
      <c r="L929" s="304">
        <f t="shared" ca="1" si="406"/>
        <v>539.39327216281026</v>
      </c>
      <c r="M929" s="306">
        <f t="shared" ca="1" si="422"/>
        <v>-1.5195514307219564</v>
      </c>
      <c r="N929" s="304">
        <f t="shared" ca="1" si="423"/>
        <v>-87.063883733433997</v>
      </c>
      <c r="P929" s="310">
        <f t="shared" ca="1" si="424"/>
        <v>23</v>
      </c>
      <c r="Q929" s="304">
        <f t="shared" ca="1" si="425"/>
        <v>0</v>
      </c>
      <c r="R929" s="306">
        <f t="shared" ca="1" si="426"/>
        <v>0</v>
      </c>
      <c r="S929" s="307">
        <f t="shared" ca="1" si="427"/>
        <v>6.8519999999999914</v>
      </c>
      <c r="T929" s="304">
        <f t="shared" ca="1" si="407"/>
        <v>67.218119999999914</v>
      </c>
      <c r="U929" s="311">
        <f t="shared" ca="1" si="408"/>
        <v>0</v>
      </c>
      <c r="V929" s="306">
        <f t="shared" ca="1" si="409"/>
        <v>1.2264293176805663</v>
      </c>
      <c r="W929" s="304">
        <f t="shared" ca="1" si="410"/>
        <v>55.020769661598571</v>
      </c>
      <c r="Y929" s="314" t="str">
        <f t="shared" ca="1" si="428"/>
        <v/>
      </c>
      <c r="Z929" s="315" t="str">
        <f t="shared" ca="1" si="429"/>
        <v/>
      </c>
      <c r="AA929" s="316" t="str">
        <f t="shared" ca="1" si="430"/>
        <v/>
      </c>
      <c r="AC929" s="310" t="e">
        <f t="shared" ca="1" si="431"/>
        <v>#N/A</v>
      </c>
      <c r="AD929" s="323" t="e">
        <f t="shared" ca="1" si="432"/>
        <v>#N/A</v>
      </c>
      <c r="AE929" s="324" t="e">
        <f t="shared" ca="1" si="411"/>
        <v>#N/A</v>
      </c>
      <c r="AG929" s="306">
        <f t="shared" ca="1" si="433"/>
        <v>1.7672692088854998</v>
      </c>
      <c r="AH929" s="304">
        <f t="shared" ca="1" si="434"/>
        <v>-8.0298526975065787</v>
      </c>
    </row>
    <row r="930" spans="1:34" x14ac:dyDescent="0.2">
      <c r="A930" s="347">
        <f t="shared" ca="1" si="412"/>
        <v>1E-4</v>
      </c>
      <c r="B930" s="304">
        <f t="shared" ca="1" si="413"/>
        <v>39.417200000000818</v>
      </c>
      <c r="D930" s="306">
        <f t="shared" ca="1" si="414"/>
        <v>-0.41131052988877936</v>
      </c>
      <c r="E930" s="307">
        <f t="shared" ca="1" si="415"/>
        <v>-1.7906564337479232</v>
      </c>
      <c r="F930" s="304">
        <f t="shared" ca="1" si="416"/>
        <v>1.8372878967979456</v>
      </c>
      <c r="G930" s="306">
        <f t="shared" ca="1" si="417"/>
        <v>6.8429256267549059</v>
      </c>
      <c r="H930" s="307">
        <f t="shared" ca="1" si="418"/>
        <v>-133.41787070155286</v>
      </c>
      <c r="I930" s="304">
        <f t="shared" ca="1" si="419"/>
        <v>133.59324029931145</v>
      </c>
      <c r="J930" s="306">
        <f t="shared" ca="1" si="420"/>
        <v>539.267207314762</v>
      </c>
      <c r="K930" s="307">
        <f t="shared" ca="1" si="421"/>
        <v>-11.674438186303144</v>
      </c>
      <c r="L930" s="304">
        <f t="shared" ca="1" si="406"/>
        <v>539.393560762481</v>
      </c>
      <c r="M930" s="306">
        <f t="shared" ca="1" si="422"/>
        <v>-1.5195518068580802</v>
      </c>
      <c r="N930" s="304">
        <f t="shared" ca="1" si="423"/>
        <v>-87.06390528444642</v>
      </c>
      <c r="P930" s="310">
        <f t="shared" ca="1" si="424"/>
        <v>23</v>
      </c>
      <c r="Q930" s="304">
        <f t="shared" ca="1" si="425"/>
        <v>0</v>
      </c>
      <c r="R930" s="306">
        <f t="shared" ca="1" si="426"/>
        <v>0</v>
      </c>
      <c r="S930" s="307">
        <f t="shared" ca="1" si="427"/>
        <v>6.8519999999999914</v>
      </c>
      <c r="T930" s="304">
        <f t="shared" ca="1" si="407"/>
        <v>67.218119999999914</v>
      </c>
      <c r="U930" s="311">
        <f t="shared" ca="1" si="408"/>
        <v>0</v>
      </c>
      <c r="V930" s="306">
        <f t="shared" ca="1" si="409"/>
        <v>1.2264309539569982</v>
      </c>
      <c r="W930" s="304">
        <f t="shared" ca="1" si="410"/>
        <v>55.020988638042809</v>
      </c>
      <c r="Y930" s="314" t="str">
        <f t="shared" ca="1" si="428"/>
        <v/>
      </c>
      <c r="Z930" s="315" t="str">
        <f t="shared" ca="1" si="429"/>
        <v/>
      </c>
      <c r="AA930" s="316" t="str">
        <f t="shared" ca="1" si="430"/>
        <v/>
      </c>
      <c r="AC930" s="310" t="e">
        <f t="shared" ca="1" si="431"/>
        <v>#N/A</v>
      </c>
      <c r="AD930" s="323" t="e">
        <f t="shared" ca="1" si="432"/>
        <v>#N/A</v>
      </c>
      <c r="AE930" s="324" t="e">
        <f t="shared" ca="1" si="411"/>
        <v>#N/A</v>
      </c>
      <c r="AG930" s="306">
        <f t="shared" ca="1" si="433"/>
        <v>1.7672374395916393</v>
      </c>
      <c r="AH930" s="304">
        <f t="shared" ca="1" si="434"/>
        <v>-8.0298846558083241</v>
      </c>
    </row>
    <row r="931" spans="1:34" x14ac:dyDescent="0.2">
      <c r="A931" s="347">
        <f t="shared" ca="1" si="412"/>
        <v>1E-4</v>
      </c>
      <c r="B931" s="304">
        <f t="shared" ca="1" si="413"/>
        <v>39.417300000000822</v>
      </c>
      <c r="D931" s="306">
        <f t="shared" ca="1" si="414"/>
        <v>-0.41130915048135941</v>
      </c>
      <c r="E931" s="307">
        <f t="shared" ca="1" si="415"/>
        <v>-1.7906243629581624</v>
      </c>
      <c r="F931" s="304">
        <f t="shared" ca="1" si="416"/>
        <v>1.8372563311876278</v>
      </c>
      <c r="G931" s="306">
        <f t="shared" ca="1" si="417"/>
        <v>6.8428844958398578</v>
      </c>
      <c r="H931" s="307">
        <f t="shared" ca="1" si="418"/>
        <v>-133.41804976398916</v>
      </c>
      <c r="I931" s="304">
        <f t="shared" ca="1" si="419"/>
        <v>133.59341701988797</v>
      </c>
      <c r="J931" s="306">
        <f t="shared" ca="1" si="420"/>
        <v>539.267207314762</v>
      </c>
      <c r="K931" s="307">
        <f t="shared" ca="1" si="421"/>
        <v>-11.68777998232642</v>
      </c>
      <c r="L931" s="304">
        <f t="shared" ca="1" si="406"/>
        <v>539.39384969239109</v>
      </c>
      <c r="M931" s="306">
        <f t="shared" ca="1" si="422"/>
        <v>-1.519552182990948</v>
      </c>
      <c r="N931" s="304">
        <f t="shared" ca="1" si="423"/>
        <v>-87.063926835272284</v>
      </c>
      <c r="P931" s="310">
        <f t="shared" ca="1" si="424"/>
        <v>23</v>
      </c>
      <c r="Q931" s="304">
        <f t="shared" ca="1" si="425"/>
        <v>0</v>
      </c>
      <c r="R931" s="306">
        <f t="shared" ca="1" si="426"/>
        <v>0</v>
      </c>
      <c r="S931" s="307">
        <f t="shared" ca="1" si="427"/>
        <v>6.8519999999999914</v>
      </c>
      <c r="T931" s="304">
        <f t="shared" ca="1" si="407"/>
        <v>67.218119999999914</v>
      </c>
      <c r="U931" s="311">
        <f t="shared" ca="1" si="408"/>
        <v>0</v>
      </c>
      <c r="V931" s="306">
        <f t="shared" ca="1" si="409"/>
        <v>1.2264325902378104</v>
      </c>
      <c r="W931" s="304">
        <f t="shared" ca="1" si="410"/>
        <v>55.0212076126477</v>
      </c>
      <c r="Y931" s="314" t="str">
        <f t="shared" ca="1" si="428"/>
        <v/>
      </c>
      <c r="Z931" s="315" t="str">
        <f t="shared" ca="1" si="429"/>
        <v/>
      </c>
      <c r="AA931" s="316" t="str">
        <f t="shared" ca="1" si="430"/>
        <v/>
      </c>
      <c r="AC931" s="310" t="e">
        <f t="shared" ca="1" si="431"/>
        <v>#N/A</v>
      </c>
      <c r="AD931" s="323" t="e">
        <f t="shared" ca="1" si="432"/>
        <v>#N/A</v>
      </c>
      <c r="AE931" s="324" t="e">
        <f t="shared" ca="1" si="411"/>
        <v>#N/A</v>
      </c>
      <c r="AG931" s="306">
        <f t="shared" ca="1" si="433"/>
        <v>1.7672056705631931</v>
      </c>
      <c r="AH931" s="304">
        <f t="shared" ca="1" si="434"/>
        <v>-8.0299166138416336</v>
      </c>
    </row>
    <row r="932" spans="1:34" x14ac:dyDescent="0.2">
      <c r="A932" s="347">
        <f t="shared" ca="1" si="412"/>
        <v>1E-4</v>
      </c>
      <c r="B932" s="304">
        <f t="shared" ca="1" si="413"/>
        <v>39.417400000000825</v>
      </c>
      <c r="D932" s="306">
        <f t="shared" ca="1" si="414"/>
        <v>-0.41130777106223354</v>
      </c>
      <c r="E932" s="307">
        <f t="shared" ca="1" si="415"/>
        <v>-1.7905922924377293</v>
      </c>
      <c r="F932" s="304">
        <f t="shared" ca="1" si="416"/>
        <v>1.8372247658557146</v>
      </c>
      <c r="G932" s="306">
        <f t="shared" ca="1" si="417"/>
        <v>6.8428433650627518</v>
      </c>
      <c r="H932" s="307">
        <f t="shared" ca="1" si="418"/>
        <v>-133.41822882321841</v>
      </c>
      <c r="I932" s="304">
        <f t="shared" ca="1" si="419"/>
        <v>133.59359373728762</v>
      </c>
      <c r="J932" s="306">
        <f t="shared" ca="1" si="420"/>
        <v>539.267207314762</v>
      </c>
      <c r="K932" s="307">
        <f t="shared" ca="1" si="421"/>
        <v>-11.70112179625578</v>
      </c>
      <c r="L932" s="304">
        <f t="shared" ca="1" si="406"/>
        <v>539.3941389525412</v>
      </c>
      <c r="M932" s="306">
        <f t="shared" ca="1" si="422"/>
        <v>-1.5195525591205599</v>
      </c>
      <c r="N932" s="304">
        <f t="shared" ca="1" si="423"/>
        <v>-87.063948385911587</v>
      </c>
      <c r="P932" s="310">
        <f t="shared" ca="1" si="424"/>
        <v>23</v>
      </c>
      <c r="Q932" s="304">
        <f t="shared" ca="1" si="425"/>
        <v>0</v>
      </c>
      <c r="R932" s="306">
        <f t="shared" ca="1" si="426"/>
        <v>0</v>
      </c>
      <c r="S932" s="307">
        <f t="shared" ca="1" si="427"/>
        <v>6.8519999999999914</v>
      </c>
      <c r="T932" s="304">
        <f t="shared" ca="1" si="407"/>
        <v>67.218119999999914</v>
      </c>
      <c r="U932" s="311">
        <f t="shared" ca="1" si="408"/>
        <v>0</v>
      </c>
      <c r="V932" s="306">
        <f t="shared" ca="1" si="409"/>
        <v>1.226434226523003</v>
      </c>
      <c r="W932" s="304">
        <f t="shared" ca="1" si="410"/>
        <v>55.021426585413295</v>
      </c>
      <c r="Y932" s="314" t="str">
        <f t="shared" ca="1" si="428"/>
        <v/>
      </c>
      <c r="Z932" s="315" t="str">
        <f t="shared" ca="1" si="429"/>
        <v/>
      </c>
      <c r="AA932" s="316" t="str">
        <f t="shared" ca="1" si="430"/>
        <v/>
      </c>
      <c r="AC932" s="310" t="e">
        <f t="shared" ca="1" si="431"/>
        <v>#N/A</v>
      </c>
      <c r="AD932" s="323" t="e">
        <f t="shared" ca="1" si="432"/>
        <v>#N/A</v>
      </c>
      <c r="AE932" s="324" t="e">
        <f t="shared" ca="1" si="411"/>
        <v>#N/A</v>
      </c>
      <c r="AG932" s="306">
        <f t="shared" ca="1" si="433"/>
        <v>1.7671739018001649</v>
      </c>
      <c r="AH932" s="304">
        <f t="shared" ca="1" si="434"/>
        <v>-8.0299485716065053</v>
      </c>
    </row>
    <row r="933" spans="1:34" x14ac:dyDescent="0.2">
      <c r="A933" s="347">
        <f t="shared" ca="1" si="412"/>
        <v>1E-4</v>
      </c>
      <c r="B933" s="304">
        <f t="shared" ca="1" si="413"/>
        <v>39.417500000000828</v>
      </c>
      <c r="D933" s="306">
        <f t="shared" ca="1" si="414"/>
        <v>-0.4113063916314007</v>
      </c>
      <c r="E933" s="307">
        <f t="shared" ca="1" si="415"/>
        <v>-1.7905602221866186</v>
      </c>
      <c r="F933" s="304">
        <f t="shared" ca="1" si="416"/>
        <v>1.8371932008022009</v>
      </c>
      <c r="G933" s="306">
        <f t="shared" ca="1" si="417"/>
        <v>6.8428022344235888</v>
      </c>
      <c r="H933" s="307">
        <f t="shared" ca="1" si="418"/>
        <v>-133.41840787924062</v>
      </c>
      <c r="I933" s="304">
        <f t="shared" ca="1" si="419"/>
        <v>133.59377045151038</v>
      </c>
      <c r="J933" s="306">
        <f t="shared" ca="1" si="420"/>
        <v>539.267207314762</v>
      </c>
      <c r="K933" s="307">
        <f t="shared" ca="1" si="421"/>
        <v>-11.714463628090902</v>
      </c>
      <c r="L933" s="304">
        <f t="shared" ca="1" si="406"/>
        <v>539.39442854293213</v>
      </c>
      <c r="M933" s="306">
        <f t="shared" ca="1" si="422"/>
        <v>-1.5195529352469157</v>
      </c>
      <c r="N933" s="304">
        <f t="shared" ca="1" si="423"/>
        <v>-87.063969936364344</v>
      </c>
      <c r="P933" s="310">
        <f t="shared" ca="1" si="424"/>
        <v>23</v>
      </c>
      <c r="Q933" s="304">
        <f t="shared" ca="1" si="425"/>
        <v>0</v>
      </c>
      <c r="R933" s="306">
        <f t="shared" ca="1" si="426"/>
        <v>0</v>
      </c>
      <c r="S933" s="307">
        <f t="shared" ca="1" si="427"/>
        <v>6.8519999999999914</v>
      </c>
      <c r="T933" s="304">
        <f t="shared" ca="1" si="407"/>
        <v>67.218119999999914</v>
      </c>
      <c r="U933" s="311">
        <f t="shared" ca="1" si="408"/>
        <v>0</v>
      </c>
      <c r="V933" s="306">
        <f t="shared" ca="1" si="409"/>
        <v>1.2264358628125758</v>
      </c>
      <c r="W933" s="304">
        <f t="shared" ca="1" si="410"/>
        <v>55.021645556339493</v>
      </c>
      <c r="Y933" s="314" t="str">
        <f t="shared" ca="1" si="428"/>
        <v/>
      </c>
      <c r="Z933" s="315" t="str">
        <f t="shared" ca="1" si="429"/>
        <v/>
      </c>
      <c r="AA933" s="316" t="str">
        <f t="shared" ca="1" si="430"/>
        <v/>
      </c>
      <c r="AC933" s="310" t="e">
        <f t="shared" ca="1" si="431"/>
        <v>#N/A</v>
      </c>
      <c r="AD933" s="323" t="e">
        <f t="shared" ca="1" si="432"/>
        <v>#N/A</v>
      </c>
      <c r="AE933" s="324" t="e">
        <f t="shared" ca="1" si="411"/>
        <v>#N/A</v>
      </c>
      <c r="AG933" s="306">
        <f t="shared" ca="1" si="433"/>
        <v>1.7671421333025474</v>
      </c>
      <c r="AH933" s="304">
        <f t="shared" ca="1" si="434"/>
        <v>-8.0299805291029429</v>
      </c>
    </row>
    <row r="934" spans="1:34" x14ac:dyDescent="0.2">
      <c r="A934" s="347">
        <f t="shared" ca="1" si="412"/>
        <v>1E-4</v>
      </c>
      <c r="B934" s="304">
        <f t="shared" ca="1" si="413"/>
        <v>39.417600000000832</v>
      </c>
      <c r="D934" s="306">
        <f t="shared" ca="1" si="414"/>
        <v>-0.41130501218886278</v>
      </c>
      <c r="E934" s="307">
        <f t="shared" ca="1" si="415"/>
        <v>-1.7905281522048462</v>
      </c>
      <c r="F934" s="304">
        <f t="shared" ca="1" si="416"/>
        <v>1.8371616360271028</v>
      </c>
      <c r="G934" s="306">
        <f t="shared" ca="1" si="417"/>
        <v>6.8427611039223697</v>
      </c>
      <c r="H934" s="307">
        <f t="shared" ca="1" si="418"/>
        <v>-133.41858693205583</v>
      </c>
      <c r="I934" s="304">
        <f t="shared" ca="1" si="419"/>
        <v>133.59394716255633</v>
      </c>
      <c r="J934" s="306">
        <f t="shared" ca="1" si="420"/>
        <v>539.267207314762</v>
      </c>
      <c r="K934" s="307">
        <f t="shared" ca="1" si="421"/>
        <v>-11.727805477831467</v>
      </c>
      <c r="L934" s="304">
        <f t="shared" ca="1" si="406"/>
        <v>539.3947184635648</v>
      </c>
      <c r="M934" s="306">
        <f t="shared" ca="1" si="422"/>
        <v>-1.5195533113700157</v>
      </c>
      <c r="N934" s="304">
        <f t="shared" ca="1" si="423"/>
        <v>-87.063991486630556</v>
      </c>
      <c r="P934" s="310">
        <f t="shared" ca="1" si="424"/>
        <v>23</v>
      </c>
      <c r="Q934" s="304">
        <f t="shared" ca="1" si="425"/>
        <v>0</v>
      </c>
      <c r="R934" s="306">
        <f t="shared" ca="1" si="426"/>
        <v>0</v>
      </c>
      <c r="S934" s="307">
        <f t="shared" ca="1" si="427"/>
        <v>6.8519999999999914</v>
      </c>
      <c r="T934" s="304">
        <f t="shared" ca="1" si="407"/>
        <v>67.218119999999914</v>
      </c>
      <c r="U934" s="311">
        <f t="shared" ca="1" si="408"/>
        <v>0</v>
      </c>
      <c r="V934" s="306">
        <f t="shared" ca="1" si="409"/>
        <v>1.2264374991065294</v>
      </c>
      <c r="W934" s="304">
        <f t="shared" ca="1" si="410"/>
        <v>55.021864525426395</v>
      </c>
      <c r="Y934" s="314" t="str">
        <f t="shared" ca="1" si="428"/>
        <v/>
      </c>
      <c r="Z934" s="315" t="str">
        <f t="shared" ca="1" si="429"/>
        <v/>
      </c>
      <c r="AA934" s="316" t="str">
        <f t="shared" ca="1" si="430"/>
        <v/>
      </c>
      <c r="AC934" s="310" t="e">
        <f t="shared" ca="1" si="431"/>
        <v>#N/A</v>
      </c>
      <c r="AD934" s="323" t="e">
        <f t="shared" ca="1" si="432"/>
        <v>#N/A</v>
      </c>
      <c r="AE934" s="324" t="e">
        <f t="shared" ca="1" si="411"/>
        <v>#N/A</v>
      </c>
      <c r="AG934" s="306">
        <f t="shared" ca="1" si="433"/>
        <v>1.7671103650703532</v>
      </c>
      <c r="AH934" s="304">
        <f t="shared" ca="1" si="434"/>
        <v>-8.0300124863309339</v>
      </c>
    </row>
    <row r="935" spans="1:34" x14ac:dyDescent="0.2">
      <c r="A935" s="347">
        <f t="shared" ca="1" si="412"/>
        <v>1E-4</v>
      </c>
      <c r="B935" s="304">
        <f t="shared" ca="1" si="413"/>
        <v>39.417700000000835</v>
      </c>
      <c r="D935" s="306">
        <f t="shared" ca="1" si="414"/>
        <v>-0.41130363273461934</v>
      </c>
      <c r="E935" s="307">
        <f t="shared" ca="1" si="415"/>
        <v>-1.7904960824923943</v>
      </c>
      <c r="F935" s="304">
        <f t="shared" ca="1" si="416"/>
        <v>1.8371300715304035</v>
      </c>
      <c r="G935" s="306">
        <f t="shared" ca="1" si="417"/>
        <v>6.8427199735590962</v>
      </c>
      <c r="H935" s="307">
        <f t="shared" ca="1" si="418"/>
        <v>-133.41876598166408</v>
      </c>
      <c r="I935" s="304">
        <f t="shared" ca="1" si="419"/>
        <v>133.59412387042548</v>
      </c>
      <c r="J935" s="306">
        <f t="shared" ca="1" si="420"/>
        <v>539.267207314762</v>
      </c>
      <c r="K935" s="307">
        <f t="shared" ca="1" si="421"/>
        <v>-11.741147345477152</v>
      </c>
      <c r="L935" s="304">
        <f t="shared" ca="1" si="406"/>
        <v>539.39500871443988</v>
      </c>
      <c r="M935" s="306">
        <f t="shared" ca="1" si="422"/>
        <v>-1.5195536874898601</v>
      </c>
      <c r="N935" s="304">
        <f t="shared" ca="1" si="423"/>
        <v>-87.064013036710222</v>
      </c>
      <c r="P935" s="310">
        <f t="shared" ca="1" si="424"/>
        <v>23</v>
      </c>
      <c r="Q935" s="304">
        <f t="shared" ca="1" si="425"/>
        <v>0</v>
      </c>
      <c r="R935" s="306">
        <f t="shared" ca="1" si="426"/>
        <v>0</v>
      </c>
      <c r="S935" s="307">
        <f t="shared" ca="1" si="427"/>
        <v>6.8519999999999914</v>
      </c>
      <c r="T935" s="304">
        <f t="shared" ca="1" si="407"/>
        <v>67.218119999999914</v>
      </c>
      <c r="U935" s="311">
        <f t="shared" ca="1" si="408"/>
        <v>0</v>
      </c>
      <c r="V935" s="306">
        <f t="shared" ca="1" si="409"/>
        <v>1.2264391354048632</v>
      </c>
      <c r="W935" s="304">
        <f t="shared" ca="1" si="410"/>
        <v>55.022083492673943</v>
      </c>
      <c r="Y935" s="314" t="str">
        <f t="shared" ca="1" si="428"/>
        <v/>
      </c>
      <c r="Z935" s="315" t="str">
        <f t="shared" ca="1" si="429"/>
        <v/>
      </c>
      <c r="AA935" s="316" t="str">
        <f t="shared" ca="1" si="430"/>
        <v/>
      </c>
      <c r="AC935" s="310" t="e">
        <f t="shared" ca="1" si="431"/>
        <v>#N/A</v>
      </c>
      <c r="AD935" s="323" t="e">
        <f t="shared" ca="1" si="432"/>
        <v>#N/A</v>
      </c>
      <c r="AE935" s="324" t="e">
        <f t="shared" ca="1" si="411"/>
        <v>#N/A</v>
      </c>
      <c r="AG935" s="306">
        <f t="shared" ca="1" si="433"/>
        <v>1.7670785971035681</v>
      </c>
      <c r="AH935" s="304">
        <f t="shared" ca="1" si="434"/>
        <v>-8.0300444432904943</v>
      </c>
    </row>
    <row r="936" spans="1:34" x14ac:dyDescent="0.2">
      <c r="A936" s="347">
        <f t="shared" ca="1" si="412"/>
        <v>1E-4</v>
      </c>
      <c r="B936" s="304">
        <f t="shared" ca="1" si="413"/>
        <v>39.417800000000838</v>
      </c>
      <c r="D936" s="306">
        <f t="shared" ca="1" si="414"/>
        <v>-0.41130225326866865</v>
      </c>
      <c r="E936" s="307">
        <f t="shared" ca="1" si="415"/>
        <v>-1.7904640130492737</v>
      </c>
      <c r="F936" s="304">
        <f t="shared" ca="1" si="416"/>
        <v>1.8370985073121131</v>
      </c>
      <c r="G936" s="306">
        <f t="shared" ca="1" si="417"/>
        <v>6.8426788433337693</v>
      </c>
      <c r="H936" s="307">
        <f t="shared" ca="1" si="418"/>
        <v>-133.41894502806539</v>
      </c>
      <c r="I936" s="304">
        <f t="shared" ca="1" si="419"/>
        <v>133.5943005751179</v>
      </c>
      <c r="J936" s="306">
        <f t="shared" ca="1" si="420"/>
        <v>539.267207314762</v>
      </c>
      <c r="K936" s="307">
        <f t="shared" ca="1" si="421"/>
        <v>-11.754489231027639</v>
      </c>
      <c r="L936" s="304">
        <f t="shared" ca="1" si="406"/>
        <v>539.39529929555817</v>
      </c>
      <c r="M936" s="306">
        <f t="shared" ca="1" si="422"/>
        <v>-1.5195540636064486</v>
      </c>
      <c r="N936" s="304">
        <f t="shared" ca="1" si="423"/>
        <v>-87.064034586603356</v>
      </c>
      <c r="P936" s="310">
        <f t="shared" ca="1" si="424"/>
        <v>23</v>
      </c>
      <c r="Q936" s="304">
        <f t="shared" ca="1" si="425"/>
        <v>0</v>
      </c>
      <c r="R936" s="306">
        <f t="shared" ca="1" si="426"/>
        <v>0</v>
      </c>
      <c r="S936" s="307">
        <f t="shared" ca="1" si="427"/>
        <v>6.8519999999999914</v>
      </c>
      <c r="T936" s="304">
        <f t="shared" ca="1" si="407"/>
        <v>67.218119999999914</v>
      </c>
      <c r="U936" s="311">
        <f t="shared" ca="1" si="408"/>
        <v>0</v>
      </c>
      <c r="V936" s="306">
        <f t="shared" ca="1" si="409"/>
        <v>1.2264407717075771</v>
      </c>
      <c r="W936" s="304">
        <f t="shared" ca="1" si="410"/>
        <v>55.022302458082216</v>
      </c>
      <c r="Y936" s="314" t="str">
        <f t="shared" ca="1" si="428"/>
        <v/>
      </c>
      <c r="Z936" s="315" t="str">
        <f t="shared" ca="1" si="429"/>
        <v/>
      </c>
      <c r="AA936" s="316" t="str">
        <f t="shared" ca="1" si="430"/>
        <v/>
      </c>
      <c r="AC936" s="310" t="e">
        <f t="shared" ca="1" si="431"/>
        <v>#N/A</v>
      </c>
      <c r="AD936" s="323" t="e">
        <f t="shared" ca="1" si="432"/>
        <v>#N/A</v>
      </c>
      <c r="AE936" s="324" t="e">
        <f t="shared" ca="1" si="411"/>
        <v>#N/A</v>
      </c>
      <c r="AG936" s="306">
        <f t="shared" ca="1" si="433"/>
        <v>1.7670468294022026</v>
      </c>
      <c r="AH936" s="304">
        <f t="shared" ca="1" si="434"/>
        <v>-8.0300763999816134</v>
      </c>
    </row>
    <row r="937" spans="1:34" x14ac:dyDescent="0.2">
      <c r="A937" s="347">
        <f t="shared" ca="1" si="412"/>
        <v>1E-4</v>
      </c>
      <c r="B937" s="304">
        <f t="shared" ca="1" si="413"/>
        <v>39.417900000000841</v>
      </c>
      <c r="D937" s="306">
        <f t="shared" ca="1" si="414"/>
        <v>-0.41130087379101382</v>
      </c>
      <c r="E937" s="307">
        <f t="shared" ca="1" si="415"/>
        <v>-1.7904319438754701</v>
      </c>
      <c r="F937" s="304">
        <f t="shared" ca="1" si="416"/>
        <v>1.8370669433722187</v>
      </c>
      <c r="G937" s="306">
        <f t="shared" ca="1" si="417"/>
        <v>6.8426377132463898</v>
      </c>
      <c r="H937" s="307">
        <f t="shared" ca="1" si="418"/>
        <v>-133.41912407125977</v>
      </c>
      <c r="I937" s="304">
        <f t="shared" ca="1" si="419"/>
        <v>133.59447727663351</v>
      </c>
      <c r="J937" s="306">
        <f t="shared" ca="1" si="420"/>
        <v>539.267207314762</v>
      </c>
      <c r="K937" s="307">
        <f t="shared" ca="1" si="421"/>
        <v>-11.767831134482606</v>
      </c>
      <c r="L937" s="304">
        <f t="shared" ca="1" si="406"/>
        <v>539.39559020692059</v>
      </c>
      <c r="M937" s="306">
        <f t="shared" ca="1" si="422"/>
        <v>-1.5195544397197813</v>
      </c>
      <c r="N937" s="304">
        <f t="shared" ca="1" si="423"/>
        <v>-87.064056136309929</v>
      </c>
      <c r="P937" s="310">
        <f t="shared" ca="1" si="424"/>
        <v>23</v>
      </c>
      <c r="Q937" s="304">
        <f t="shared" ca="1" si="425"/>
        <v>0</v>
      </c>
      <c r="R937" s="306">
        <f t="shared" ca="1" si="426"/>
        <v>0</v>
      </c>
      <c r="S937" s="307">
        <f t="shared" ca="1" si="427"/>
        <v>6.8519999999999914</v>
      </c>
      <c r="T937" s="304">
        <f t="shared" ca="1" si="407"/>
        <v>67.218119999999914</v>
      </c>
      <c r="U937" s="311">
        <f t="shared" ca="1" si="408"/>
        <v>0</v>
      </c>
      <c r="V937" s="306">
        <f t="shared" ca="1" si="409"/>
        <v>1.2264424080146714</v>
      </c>
      <c r="W937" s="304">
        <f t="shared" ca="1" si="410"/>
        <v>55.022521421651113</v>
      </c>
      <c r="Y937" s="314" t="str">
        <f t="shared" ca="1" si="428"/>
        <v/>
      </c>
      <c r="Z937" s="315" t="str">
        <f t="shared" ca="1" si="429"/>
        <v/>
      </c>
      <c r="AA937" s="316" t="str">
        <f t="shared" ca="1" si="430"/>
        <v/>
      </c>
      <c r="AC937" s="310" t="e">
        <f t="shared" ca="1" si="431"/>
        <v>#N/A</v>
      </c>
      <c r="AD937" s="323" t="e">
        <f t="shared" ca="1" si="432"/>
        <v>#N/A</v>
      </c>
      <c r="AE937" s="324" t="e">
        <f t="shared" ca="1" si="411"/>
        <v>#N/A</v>
      </c>
      <c r="AG937" s="306">
        <f t="shared" ca="1" si="433"/>
        <v>1.7670150619662444</v>
      </c>
      <c r="AH937" s="304">
        <f t="shared" ca="1" si="434"/>
        <v>-8.0301083564043036</v>
      </c>
    </row>
    <row r="938" spans="1:34" x14ac:dyDescent="0.2">
      <c r="A938" s="347">
        <f t="shared" ca="1" si="412"/>
        <v>1E-4</v>
      </c>
      <c r="B938" s="304">
        <f t="shared" ca="1" si="413"/>
        <v>39.418000000000845</v>
      </c>
      <c r="D938" s="306">
        <f t="shared" ca="1" si="414"/>
        <v>-0.41129949430165463</v>
      </c>
      <c r="E938" s="307">
        <f t="shared" ca="1" si="415"/>
        <v>-1.7903998749710031</v>
      </c>
      <c r="F938" s="304">
        <f t="shared" ca="1" si="416"/>
        <v>1.8370353797107393</v>
      </c>
      <c r="G938" s="306">
        <f t="shared" ca="1" si="417"/>
        <v>6.8425965832969595</v>
      </c>
      <c r="H938" s="307">
        <f t="shared" ca="1" si="418"/>
        <v>-133.41930311124727</v>
      </c>
      <c r="I938" s="304">
        <f t="shared" ca="1" si="419"/>
        <v>133.59465397497246</v>
      </c>
      <c r="J938" s="306">
        <f t="shared" ca="1" si="420"/>
        <v>539.267207314762</v>
      </c>
      <c r="K938" s="307">
        <f t="shared" ca="1" si="421"/>
        <v>-11.78117305584173</v>
      </c>
      <c r="L938" s="304">
        <f t="shared" ca="1" si="406"/>
        <v>539.39588144852769</v>
      </c>
      <c r="M938" s="306">
        <f t="shared" ca="1" si="422"/>
        <v>-1.5195548158298584</v>
      </c>
      <c r="N938" s="304">
        <f t="shared" ca="1" si="423"/>
        <v>-87.064077685829986</v>
      </c>
      <c r="P938" s="310">
        <f t="shared" ca="1" si="424"/>
        <v>23</v>
      </c>
      <c r="Q938" s="304">
        <f t="shared" ca="1" si="425"/>
        <v>0</v>
      </c>
      <c r="R938" s="306">
        <f t="shared" ca="1" si="426"/>
        <v>0</v>
      </c>
      <c r="S938" s="307">
        <f t="shared" ca="1" si="427"/>
        <v>6.8519999999999914</v>
      </c>
      <c r="T938" s="304">
        <f t="shared" ca="1" si="407"/>
        <v>67.218119999999914</v>
      </c>
      <c r="U938" s="311">
        <f t="shared" ca="1" si="408"/>
        <v>0</v>
      </c>
      <c r="V938" s="306">
        <f t="shared" ca="1" si="409"/>
        <v>1.2264440443261462</v>
      </c>
      <c r="W938" s="304">
        <f t="shared" ca="1" si="410"/>
        <v>55.022740383380729</v>
      </c>
      <c r="Y938" s="314" t="str">
        <f t="shared" ca="1" si="428"/>
        <v/>
      </c>
      <c r="Z938" s="315" t="str">
        <f t="shared" ca="1" si="429"/>
        <v/>
      </c>
      <c r="AA938" s="316" t="str">
        <f t="shared" ca="1" si="430"/>
        <v/>
      </c>
      <c r="AC938" s="310" t="e">
        <f t="shared" ca="1" si="431"/>
        <v>#N/A</v>
      </c>
      <c r="AD938" s="323" t="e">
        <f t="shared" ca="1" si="432"/>
        <v>#N/A</v>
      </c>
      <c r="AE938" s="324" t="e">
        <f t="shared" ca="1" si="411"/>
        <v>#N/A</v>
      </c>
      <c r="AG938" s="306">
        <f t="shared" ca="1" si="433"/>
        <v>1.7669832947957094</v>
      </c>
      <c r="AH938" s="304">
        <f t="shared" ca="1" si="434"/>
        <v>-8.0301403125585491</v>
      </c>
    </row>
    <row r="939" spans="1:34" x14ac:dyDescent="0.2">
      <c r="A939" s="347">
        <f t="shared" ca="1" si="412"/>
        <v>1E-4</v>
      </c>
      <c r="B939" s="304">
        <f t="shared" ca="1" si="413"/>
        <v>39.418100000000848</v>
      </c>
      <c r="D939" s="306">
        <f t="shared" ca="1" si="414"/>
        <v>-0.41129811480059075</v>
      </c>
      <c r="E939" s="307">
        <f t="shared" ca="1" si="415"/>
        <v>-1.7903678063358548</v>
      </c>
      <c r="F939" s="304">
        <f t="shared" ca="1" si="416"/>
        <v>1.8370038163276583</v>
      </c>
      <c r="G939" s="306">
        <f t="shared" ca="1" si="417"/>
        <v>6.8425554534854793</v>
      </c>
      <c r="H939" s="307">
        <f t="shared" ca="1" si="418"/>
        <v>-133.4194821480279</v>
      </c>
      <c r="I939" s="304">
        <f t="shared" ca="1" si="419"/>
        <v>133.59483067013468</v>
      </c>
      <c r="J939" s="306">
        <f t="shared" ca="1" si="420"/>
        <v>539.267207314762</v>
      </c>
      <c r="K939" s="307">
        <f t="shared" ca="1" si="421"/>
        <v>-11.794514995104693</v>
      </c>
      <c r="L939" s="304">
        <f t="shared" ca="1" si="406"/>
        <v>539.3961730203805</v>
      </c>
      <c r="M939" s="306">
        <f t="shared" ca="1" si="422"/>
        <v>-1.5195551919366799</v>
      </c>
      <c r="N939" s="304">
        <f t="shared" ca="1" si="423"/>
        <v>-87.064099235163496</v>
      </c>
      <c r="P939" s="310">
        <f t="shared" ca="1" si="424"/>
        <v>23</v>
      </c>
      <c r="Q939" s="304">
        <f t="shared" ca="1" si="425"/>
        <v>0</v>
      </c>
      <c r="R939" s="306">
        <f t="shared" ca="1" si="426"/>
        <v>0</v>
      </c>
      <c r="S939" s="307">
        <f t="shared" ca="1" si="427"/>
        <v>6.8519999999999914</v>
      </c>
      <c r="T939" s="304">
        <f t="shared" ca="1" si="407"/>
        <v>67.218119999999914</v>
      </c>
      <c r="U939" s="311">
        <f t="shared" ca="1" si="408"/>
        <v>0</v>
      </c>
      <c r="V939" s="306">
        <f t="shared" ca="1" si="409"/>
        <v>1.226445680642001</v>
      </c>
      <c r="W939" s="304">
        <f t="shared" ca="1" si="410"/>
        <v>55.022959343271005</v>
      </c>
      <c r="Y939" s="314" t="str">
        <f t="shared" ca="1" si="428"/>
        <v/>
      </c>
      <c r="Z939" s="315" t="str">
        <f t="shared" ca="1" si="429"/>
        <v/>
      </c>
      <c r="AA939" s="316" t="str">
        <f t="shared" ca="1" si="430"/>
        <v/>
      </c>
      <c r="AC939" s="310" t="e">
        <f t="shared" ca="1" si="431"/>
        <v>#N/A</v>
      </c>
      <c r="AD939" s="323" t="e">
        <f t="shared" ca="1" si="432"/>
        <v>#N/A</v>
      </c>
      <c r="AE939" s="324" t="e">
        <f t="shared" ca="1" si="411"/>
        <v>#N/A</v>
      </c>
      <c r="AG939" s="306">
        <f t="shared" ca="1" si="433"/>
        <v>1.7669515278905799</v>
      </c>
      <c r="AH939" s="304">
        <f t="shared" ca="1" si="434"/>
        <v>-8.0301722684443657</v>
      </c>
    </row>
    <row r="940" spans="1:34" x14ac:dyDescent="0.2">
      <c r="A940" s="347">
        <f t="shared" ca="1" si="412"/>
        <v>1E-4</v>
      </c>
      <c r="B940" s="304">
        <f t="shared" ca="1" si="413"/>
        <v>39.418200000000851</v>
      </c>
      <c r="D940" s="306">
        <f t="shared" ca="1" si="414"/>
        <v>-0.41129673528782223</v>
      </c>
      <c r="E940" s="307">
        <f t="shared" ca="1" si="415"/>
        <v>-1.7903357379700324</v>
      </c>
      <c r="F940" s="304">
        <f t="shared" ca="1" si="416"/>
        <v>1.8369722532229826</v>
      </c>
      <c r="G940" s="306">
        <f t="shared" ca="1" si="417"/>
        <v>6.8425143238119501</v>
      </c>
      <c r="H940" s="307">
        <f t="shared" ca="1" si="418"/>
        <v>-133.4196611816017</v>
      </c>
      <c r="I940" s="304">
        <f t="shared" ca="1" si="419"/>
        <v>133.59500736212027</v>
      </c>
      <c r="J940" s="306">
        <f t="shared" ca="1" si="420"/>
        <v>539.267207314762</v>
      </c>
      <c r="K940" s="307">
        <f t="shared" ca="1" si="421"/>
        <v>-11.807856952271175</v>
      </c>
      <c r="L940" s="304">
        <f t="shared" ca="1" si="406"/>
        <v>539.39646492247959</v>
      </c>
      <c r="M940" s="306">
        <f t="shared" ca="1" si="422"/>
        <v>-1.5195555680402457</v>
      </c>
      <c r="N940" s="304">
        <f t="shared" ca="1" si="423"/>
        <v>-87.064120784310489</v>
      </c>
      <c r="P940" s="310">
        <f t="shared" ca="1" si="424"/>
        <v>23</v>
      </c>
      <c r="Q940" s="304">
        <f t="shared" ca="1" si="425"/>
        <v>0</v>
      </c>
      <c r="R940" s="306">
        <f t="shared" ca="1" si="426"/>
        <v>0</v>
      </c>
      <c r="S940" s="307">
        <f t="shared" ca="1" si="427"/>
        <v>6.8519999999999914</v>
      </c>
      <c r="T940" s="304">
        <f t="shared" ca="1" si="407"/>
        <v>67.218119999999914</v>
      </c>
      <c r="U940" s="311">
        <f t="shared" ca="1" si="408"/>
        <v>0</v>
      </c>
      <c r="V940" s="306">
        <f t="shared" ca="1" si="409"/>
        <v>1.2264473169622359</v>
      </c>
      <c r="W940" s="304">
        <f t="shared" ca="1" si="410"/>
        <v>55.023178301321977</v>
      </c>
      <c r="Y940" s="314" t="str">
        <f t="shared" ca="1" si="428"/>
        <v/>
      </c>
      <c r="Z940" s="315" t="str">
        <f t="shared" ca="1" si="429"/>
        <v/>
      </c>
      <c r="AA940" s="316" t="str">
        <f t="shared" ca="1" si="430"/>
        <v/>
      </c>
      <c r="AC940" s="310" t="e">
        <f t="shared" ca="1" si="431"/>
        <v>#N/A</v>
      </c>
      <c r="AD940" s="323" t="e">
        <f t="shared" ca="1" si="432"/>
        <v>#N/A</v>
      </c>
      <c r="AE940" s="324" t="e">
        <f t="shared" ca="1" si="411"/>
        <v>#N/A</v>
      </c>
      <c r="AG940" s="306">
        <f t="shared" ca="1" si="433"/>
        <v>1.7669197612508682</v>
      </c>
      <c r="AH940" s="304">
        <f t="shared" ca="1" si="434"/>
        <v>-8.0302042240617446</v>
      </c>
    </row>
    <row r="941" spans="1:34" x14ac:dyDescent="0.2">
      <c r="A941" s="347">
        <f t="shared" ca="1" si="412"/>
        <v>1E-4</v>
      </c>
      <c r="B941" s="304">
        <f t="shared" ca="1" si="413"/>
        <v>39.418300000000855</v>
      </c>
      <c r="D941" s="306">
        <f t="shared" ca="1" si="414"/>
        <v>-0.41129535576335002</v>
      </c>
      <c r="E941" s="307">
        <f t="shared" ca="1" si="415"/>
        <v>-1.790303669873536</v>
      </c>
      <c r="F941" s="304">
        <f t="shared" ca="1" si="416"/>
        <v>1.8369406903967127</v>
      </c>
      <c r="G941" s="306">
        <f t="shared" ca="1" si="417"/>
        <v>6.8424731942763737</v>
      </c>
      <c r="H941" s="307">
        <f t="shared" ca="1" si="418"/>
        <v>-133.41984021196868</v>
      </c>
      <c r="I941" s="304">
        <f t="shared" ca="1" si="419"/>
        <v>133.59518405092919</v>
      </c>
      <c r="J941" s="306">
        <f t="shared" ca="1" si="420"/>
        <v>539.267207314762</v>
      </c>
      <c r="K941" s="307">
        <f t="shared" ca="1" si="421"/>
        <v>-11.821198927340854</v>
      </c>
      <c r="L941" s="304">
        <f t="shared" ca="1" si="406"/>
        <v>539.39675715482588</v>
      </c>
      <c r="M941" s="306">
        <f t="shared" ca="1" si="422"/>
        <v>-1.5195559441405559</v>
      </c>
      <c r="N941" s="304">
        <f t="shared" ca="1" si="423"/>
        <v>-87.064142333270937</v>
      </c>
      <c r="P941" s="310">
        <f t="shared" ca="1" si="424"/>
        <v>23</v>
      </c>
      <c r="Q941" s="304">
        <f t="shared" ca="1" si="425"/>
        <v>0</v>
      </c>
      <c r="R941" s="306">
        <f t="shared" ca="1" si="426"/>
        <v>0</v>
      </c>
      <c r="S941" s="307">
        <f t="shared" ca="1" si="427"/>
        <v>6.8519999999999914</v>
      </c>
      <c r="T941" s="304">
        <f t="shared" ca="1" si="407"/>
        <v>67.218119999999914</v>
      </c>
      <c r="U941" s="311">
        <f t="shared" ca="1" si="408"/>
        <v>0</v>
      </c>
      <c r="V941" s="306">
        <f t="shared" ca="1" si="409"/>
        <v>1.2264489532868514</v>
      </c>
      <c r="W941" s="304">
        <f t="shared" ca="1" si="410"/>
        <v>55.023397257533624</v>
      </c>
      <c r="Y941" s="314" t="str">
        <f t="shared" ca="1" si="428"/>
        <v/>
      </c>
      <c r="Z941" s="315" t="str">
        <f t="shared" ca="1" si="429"/>
        <v/>
      </c>
      <c r="AA941" s="316" t="str">
        <f t="shared" ca="1" si="430"/>
        <v/>
      </c>
      <c r="AC941" s="310" t="e">
        <f t="shared" ca="1" si="431"/>
        <v>#N/A</v>
      </c>
      <c r="AD941" s="323" t="e">
        <f t="shared" ca="1" si="432"/>
        <v>#N/A</v>
      </c>
      <c r="AE941" s="324" t="e">
        <f t="shared" ca="1" si="411"/>
        <v>#N/A</v>
      </c>
      <c r="AG941" s="306">
        <f t="shared" ca="1" si="433"/>
        <v>1.7668879948765692</v>
      </c>
      <c r="AH941" s="304">
        <f t="shared" ca="1" si="434"/>
        <v>-8.0302361794106893</v>
      </c>
    </row>
    <row r="942" spans="1:34" x14ac:dyDescent="0.2">
      <c r="A942" s="347">
        <f t="shared" ca="1" si="412"/>
        <v>1E-4</v>
      </c>
      <c r="B942" s="304">
        <f t="shared" ca="1" si="413"/>
        <v>39.418400000000858</v>
      </c>
      <c r="D942" s="306">
        <f t="shared" ca="1" si="414"/>
        <v>-0.41129397622717451</v>
      </c>
      <c r="E942" s="307">
        <f t="shared" ca="1" si="415"/>
        <v>-1.7902716020463654</v>
      </c>
      <c r="F942" s="304">
        <f t="shared" ca="1" si="416"/>
        <v>1.836909127848849</v>
      </c>
      <c r="G942" s="306">
        <f t="shared" ca="1" si="417"/>
        <v>6.8424320648787509</v>
      </c>
      <c r="H942" s="307">
        <f t="shared" ca="1" si="418"/>
        <v>-133.42001923912889</v>
      </c>
      <c r="I942" s="304">
        <f t="shared" ca="1" si="419"/>
        <v>133.59536073656153</v>
      </c>
      <c r="J942" s="306">
        <f t="shared" ca="1" si="420"/>
        <v>539.267207314762</v>
      </c>
      <c r="K942" s="307">
        <f t="shared" ca="1" si="421"/>
        <v>-11.834540920313408</v>
      </c>
      <c r="L942" s="304">
        <f t="shared" ca="1" si="406"/>
        <v>539.39704971742015</v>
      </c>
      <c r="M942" s="306">
        <f t="shared" ca="1" si="422"/>
        <v>-1.5195563202376108</v>
      </c>
      <c r="N942" s="304">
        <f t="shared" ca="1" si="423"/>
        <v>-87.064163882044866</v>
      </c>
      <c r="P942" s="310">
        <f t="shared" ca="1" si="424"/>
        <v>23</v>
      </c>
      <c r="Q942" s="304">
        <f t="shared" ca="1" si="425"/>
        <v>0</v>
      </c>
      <c r="R942" s="306">
        <f t="shared" ca="1" si="426"/>
        <v>0</v>
      </c>
      <c r="S942" s="307">
        <f t="shared" ca="1" si="427"/>
        <v>6.8519999999999914</v>
      </c>
      <c r="T942" s="304">
        <f t="shared" ca="1" si="407"/>
        <v>67.218119999999914</v>
      </c>
      <c r="U942" s="311">
        <f t="shared" ca="1" si="408"/>
        <v>0</v>
      </c>
      <c r="V942" s="306">
        <f t="shared" ca="1" si="409"/>
        <v>1.2264505896158469</v>
      </c>
      <c r="W942" s="304">
        <f t="shared" ca="1" si="410"/>
        <v>55.023616211905974</v>
      </c>
      <c r="Y942" s="314" t="str">
        <f t="shared" ca="1" si="428"/>
        <v/>
      </c>
      <c r="Z942" s="315" t="str">
        <f t="shared" ca="1" si="429"/>
        <v/>
      </c>
      <c r="AA942" s="316" t="str">
        <f t="shared" ca="1" si="430"/>
        <v/>
      </c>
      <c r="AC942" s="310" t="e">
        <f t="shared" ca="1" si="431"/>
        <v>#N/A</v>
      </c>
      <c r="AD942" s="323" t="e">
        <f t="shared" ca="1" si="432"/>
        <v>#N/A</v>
      </c>
      <c r="AE942" s="324" t="e">
        <f t="shared" ca="1" si="411"/>
        <v>#N/A</v>
      </c>
      <c r="AG942" s="306">
        <f t="shared" ca="1" si="433"/>
        <v>1.7668562287676828</v>
      </c>
      <c r="AH942" s="304">
        <f t="shared" ca="1" si="434"/>
        <v>-8.0302681344911981</v>
      </c>
    </row>
    <row r="943" spans="1:34" x14ac:dyDescent="0.2">
      <c r="A943" s="347">
        <f t="shared" ca="1" si="412"/>
        <v>1E-4</v>
      </c>
      <c r="B943" s="304">
        <f t="shared" ca="1" si="413"/>
        <v>39.418500000000861</v>
      </c>
      <c r="D943" s="306">
        <f t="shared" ca="1" si="414"/>
        <v>-0.4112925966792948</v>
      </c>
      <c r="E943" s="307">
        <f t="shared" ca="1" si="415"/>
        <v>-1.7902395344885154</v>
      </c>
      <c r="F943" s="304">
        <f t="shared" ca="1" si="416"/>
        <v>1.8368775655793865</v>
      </c>
      <c r="G943" s="306">
        <f t="shared" ca="1" si="417"/>
        <v>6.8423909356190826</v>
      </c>
      <c r="H943" s="307">
        <f t="shared" ca="1" si="418"/>
        <v>-133.42019826308234</v>
      </c>
      <c r="I943" s="304">
        <f t="shared" ca="1" si="419"/>
        <v>133.59553741901726</v>
      </c>
      <c r="J943" s="306">
        <f t="shared" ca="1" si="420"/>
        <v>539.267207314762</v>
      </c>
      <c r="K943" s="307">
        <f t="shared" ca="1" si="421"/>
        <v>-11.847882931188519</v>
      </c>
      <c r="L943" s="304">
        <f t="shared" ca="1" si="406"/>
        <v>539.39734261026319</v>
      </c>
      <c r="M943" s="306">
        <f t="shared" ca="1" si="422"/>
        <v>-1.5195566963314102</v>
      </c>
      <c r="N943" s="304">
        <f t="shared" ca="1" si="423"/>
        <v>-87.064185430632264</v>
      </c>
      <c r="P943" s="310">
        <f t="shared" ca="1" si="424"/>
        <v>23</v>
      </c>
      <c r="Q943" s="304">
        <f t="shared" ca="1" si="425"/>
        <v>0</v>
      </c>
      <c r="R943" s="306">
        <f t="shared" ca="1" si="426"/>
        <v>0</v>
      </c>
      <c r="S943" s="307">
        <f t="shared" ca="1" si="427"/>
        <v>6.8519999999999914</v>
      </c>
      <c r="T943" s="304">
        <f t="shared" ca="1" si="407"/>
        <v>67.218119999999914</v>
      </c>
      <c r="U943" s="311">
        <f t="shared" ca="1" si="408"/>
        <v>0</v>
      </c>
      <c r="V943" s="306">
        <f t="shared" ca="1" si="409"/>
        <v>1.2264522259492225</v>
      </c>
      <c r="W943" s="304">
        <f t="shared" ca="1" si="410"/>
        <v>55.023835164438999</v>
      </c>
      <c r="Y943" s="314" t="str">
        <f t="shared" ca="1" si="428"/>
        <v/>
      </c>
      <c r="Z943" s="315" t="str">
        <f t="shared" ca="1" si="429"/>
        <v/>
      </c>
      <c r="AA943" s="316" t="str">
        <f t="shared" ca="1" si="430"/>
        <v/>
      </c>
      <c r="AC943" s="310" t="e">
        <f t="shared" ca="1" si="431"/>
        <v>#N/A</v>
      </c>
      <c r="AD943" s="323" t="e">
        <f t="shared" ca="1" si="432"/>
        <v>#N/A</v>
      </c>
      <c r="AE943" s="324" t="e">
        <f t="shared" ca="1" si="411"/>
        <v>#N/A</v>
      </c>
      <c r="AG943" s="306">
        <f t="shared" ca="1" si="433"/>
        <v>1.7668244629242089</v>
      </c>
      <c r="AH943" s="304">
        <f t="shared" ca="1" si="434"/>
        <v>-8.0303000893032745</v>
      </c>
    </row>
    <row r="944" spans="1:34" x14ac:dyDescent="0.2">
      <c r="A944" s="347">
        <f t="shared" ca="1" si="412"/>
        <v>1E-4</v>
      </c>
      <c r="B944" s="304">
        <f t="shared" ca="1" si="413"/>
        <v>39.418600000000865</v>
      </c>
      <c r="D944" s="306">
        <f t="shared" ca="1" si="414"/>
        <v>-0.41129121711971139</v>
      </c>
      <c r="E944" s="307">
        <f t="shared" ca="1" si="415"/>
        <v>-1.7902074671999912</v>
      </c>
      <c r="F944" s="304">
        <f t="shared" ca="1" si="416"/>
        <v>1.8368460035883305</v>
      </c>
      <c r="G944" s="306">
        <f t="shared" ca="1" si="417"/>
        <v>6.8423498064973707</v>
      </c>
      <c r="H944" s="307">
        <f t="shared" ca="1" si="418"/>
        <v>-133.42037728382905</v>
      </c>
      <c r="I944" s="304">
        <f t="shared" ca="1" si="419"/>
        <v>133.59571409829644</v>
      </c>
      <c r="J944" s="306">
        <f t="shared" ca="1" si="420"/>
        <v>539.267207314762</v>
      </c>
      <c r="K944" s="307">
        <f t="shared" ca="1" si="421"/>
        <v>-11.861224959965863</v>
      </c>
      <c r="L944" s="304">
        <f t="shared" ca="1" si="406"/>
        <v>539.39763583335571</v>
      </c>
      <c r="M944" s="306">
        <f t="shared" ca="1" si="422"/>
        <v>-1.519557072421954</v>
      </c>
      <c r="N944" s="304">
        <f t="shared" ca="1" si="423"/>
        <v>-87.064206979033145</v>
      </c>
      <c r="P944" s="310">
        <f t="shared" ca="1" si="424"/>
        <v>23</v>
      </c>
      <c r="Q944" s="304">
        <f t="shared" ca="1" si="425"/>
        <v>0</v>
      </c>
      <c r="R944" s="306">
        <f t="shared" ca="1" si="426"/>
        <v>0</v>
      </c>
      <c r="S944" s="307">
        <f t="shared" ca="1" si="427"/>
        <v>6.8519999999999914</v>
      </c>
      <c r="T944" s="304">
        <f t="shared" ca="1" si="407"/>
        <v>67.218119999999914</v>
      </c>
      <c r="U944" s="311">
        <f t="shared" ca="1" si="408"/>
        <v>0</v>
      </c>
      <c r="V944" s="306">
        <f t="shared" ca="1" si="409"/>
        <v>1.2264538622869781</v>
      </c>
      <c r="W944" s="304">
        <f t="shared" ca="1" si="410"/>
        <v>55.024054115132706</v>
      </c>
      <c r="Y944" s="314" t="str">
        <f t="shared" ca="1" si="428"/>
        <v/>
      </c>
      <c r="Z944" s="315" t="str">
        <f t="shared" ca="1" si="429"/>
        <v/>
      </c>
      <c r="AA944" s="316" t="str">
        <f t="shared" ca="1" si="430"/>
        <v/>
      </c>
      <c r="AC944" s="310" t="e">
        <f t="shared" ca="1" si="431"/>
        <v>#N/A</v>
      </c>
      <c r="AD944" s="323" t="e">
        <f t="shared" ca="1" si="432"/>
        <v>#N/A</v>
      </c>
      <c r="AE944" s="324" t="e">
        <f t="shared" ca="1" si="411"/>
        <v>#N/A</v>
      </c>
      <c r="AG944" s="306">
        <f t="shared" ca="1" si="433"/>
        <v>1.7667926973461459</v>
      </c>
      <c r="AH944" s="304">
        <f t="shared" ca="1" si="434"/>
        <v>-8.0303320438469168</v>
      </c>
    </row>
    <row r="945" spans="1:34" x14ac:dyDescent="0.2">
      <c r="A945" s="347">
        <f t="shared" ca="1" si="412"/>
        <v>1E-4</v>
      </c>
      <c r="B945" s="304">
        <f t="shared" ca="1" si="413"/>
        <v>39.418700000000868</v>
      </c>
      <c r="D945" s="306">
        <f t="shared" ca="1" si="414"/>
        <v>-0.41128983754842646</v>
      </c>
      <c r="E945" s="307">
        <f t="shared" ca="1" si="415"/>
        <v>-1.7901754001807948</v>
      </c>
      <c r="F945" s="304">
        <f t="shared" ca="1" si="416"/>
        <v>1.8368144418756838</v>
      </c>
      <c r="G945" s="306">
        <f t="shared" ca="1" si="417"/>
        <v>6.8423086775136159</v>
      </c>
      <c r="H945" s="307">
        <f t="shared" ca="1" si="418"/>
        <v>-133.42055630136906</v>
      </c>
      <c r="I945" s="304">
        <f t="shared" ca="1" si="419"/>
        <v>133.59589077439907</v>
      </c>
      <c r="J945" s="306">
        <f t="shared" ca="1" si="420"/>
        <v>539.267207314762</v>
      </c>
      <c r="K945" s="307">
        <f t="shared" ca="1" si="421"/>
        <v>-11.874567006645123</v>
      </c>
      <c r="L945" s="304">
        <f t="shared" ca="1" si="406"/>
        <v>539.39792938669859</v>
      </c>
      <c r="M945" s="306">
        <f t="shared" ca="1" si="422"/>
        <v>-1.5195574485092425</v>
      </c>
      <c r="N945" s="304">
        <f t="shared" ca="1" si="423"/>
        <v>-87.064228527247508</v>
      </c>
      <c r="P945" s="310">
        <f t="shared" ca="1" si="424"/>
        <v>23</v>
      </c>
      <c r="Q945" s="304">
        <f t="shared" ca="1" si="425"/>
        <v>0</v>
      </c>
      <c r="R945" s="306">
        <f t="shared" ca="1" si="426"/>
        <v>0</v>
      </c>
      <c r="S945" s="307">
        <f t="shared" ca="1" si="427"/>
        <v>6.8519999999999914</v>
      </c>
      <c r="T945" s="304">
        <f t="shared" ca="1" si="407"/>
        <v>67.218119999999914</v>
      </c>
      <c r="U945" s="311">
        <f t="shared" ca="1" si="408"/>
        <v>0</v>
      </c>
      <c r="V945" s="306">
        <f t="shared" ca="1" si="409"/>
        <v>1.2264554986291141</v>
      </c>
      <c r="W945" s="304">
        <f t="shared" ca="1" si="410"/>
        <v>55.02427306398711</v>
      </c>
      <c r="Y945" s="314" t="str">
        <f t="shared" ca="1" si="428"/>
        <v/>
      </c>
      <c r="Z945" s="315" t="str">
        <f t="shared" ca="1" si="429"/>
        <v/>
      </c>
      <c r="AA945" s="316" t="str">
        <f t="shared" ca="1" si="430"/>
        <v/>
      </c>
      <c r="AC945" s="310" t="e">
        <f t="shared" ca="1" si="431"/>
        <v>#N/A</v>
      </c>
      <c r="AD945" s="323" t="e">
        <f t="shared" ca="1" si="432"/>
        <v>#N/A</v>
      </c>
      <c r="AE945" s="324" t="e">
        <f t="shared" ca="1" si="411"/>
        <v>#N/A</v>
      </c>
      <c r="AG945" s="306">
        <f t="shared" ca="1" si="433"/>
        <v>1.7667609320335007</v>
      </c>
      <c r="AH945" s="304">
        <f t="shared" ca="1" si="434"/>
        <v>-8.0303639981221213</v>
      </c>
    </row>
    <row r="946" spans="1:34" x14ac:dyDescent="0.2">
      <c r="A946" s="347">
        <f t="shared" ca="1" si="412"/>
        <v>1E-4</v>
      </c>
      <c r="B946" s="304">
        <f t="shared" ca="1" si="413"/>
        <v>39.418800000000871</v>
      </c>
      <c r="D946" s="306">
        <f t="shared" ca="1" si="414"/>
        <v>-0.41128845796543922</v>
      </c>
      <c r="E946" s="307">
        <f t="shared" ca="1" si="415"/>
        <v>-1.7901433334309189</v>
      </c>
      <c r="F946" s="304">
        <f t="shared" ca="1" si="416"/>
        <v>1.8367828804414394</v>
      </c>
      <c r="G946" s="306">
        <f t="shared" ca="1" si="417"/>
        <v>6.8422675486678193</v>
      </c>
      <c r="H946" s="307">
        <f t="shared" ca="1" si="418"/>
        <v>-133.42073531570242</v>
      </c>
      <c r="I946" s="304">
        <f t="shared" ca="1" si="419"/>
        <v>133.59606744732525</v>
      </c>
      <c r="J946" s="306">
        <f t="shared" ca="1" si="420"/>
        <v>539.267207314762</v>
      </c>
      <c r="K946" s="307">
        <f t="shared" ca="1" si="421"/>
        <v>-11.887909071225977</v>
      </c>
      <c r="L946" s="304">
        <f t="shared" ca="1" si="406"/>
        <v>539.39822327029242</v>
      </c>
      <c r="M946" s="306">
        <f t="shared" ca="1" si="422"/>
        <v>-1.5195578245932757</v>
      </c>
      <c r="N946" s="304">
        <f t="shared" ca="1" si="423"/>
        <v>-87.064250075275353</v>
      </c>
      <c r="P946" s="310">
        <f t="shared" ca="1" si="424"/>
        <v>23</v>
      </c>
      <c r="Q946" s="304">
        <f t="shared" ca="1" si="425"/>
        <v>0</v>
      </c>
      <c r="R946" s="306">
        <f t="shared" ca="1" si="426"/>
        <v>0</v>
      </c>
      <c r="S946" s="307">
        <f t="shared" ca="1" si="427"/>
        <v>6.8519999999999914</v>
      </c>
      <c r="T946" s="304">
        <f t="shared" ca="1" si="407"/>
        <v>67.218119999999914</v>
      </c>
      <c r="U946" s="311">
        <f t="shared" ca="1" si="408"/>
        <v>0</v>
      </c>
      <c r="V946" s="306">
        <f t="shared" ca="1" si="409"/>
        <v>1.2264571349756299</v>
      </c>
      <c r="W946" s="304">
        <f t="shared" ca="1" si="410"/>
        <v>55.024492011002259</v>
      </c>
      <c r="Y946" s="314" t="str">
        <f t="shared" ca="1" si="428"/>
        <v/>
      </c>
      <c r="Z946" s="315" t="str">
        <f t="shared" ca="1" si="429"/>
        <v/>
      </c>
      <c r="AA946" s="316" t="str">
        <f t="shared" ca="1" si="430"/>
        <v/>
      </c>
      <c r="AC946" s="310" t="e">
        <f t="shared" ca="1" si="431"/>
        <v>#N/A</v>
      </c>
      <c r="AD946" s="323" t="e">
        <f t="shared" ca="1" si="432"/>
        <v>#N/A</v>
      </c>
      <c r="AE946" s="324" t="e">
        <f t="shared" ca="1" si="411"/>
        <v>#N/A</v>
      </c>
      <c r="AG946" s="306">
        <f t="shared" ca="1" si="433"/>
        <v>1.7667291669862646</v>
      </c>
      <c r="AH946" s="304">
        <f t="shared" ca="1" si="434"/>
        <v>-8.0303959521288935</v>
      </c>
    </row>
    <row r="947" spans="1:34" x14ac:dyDescent="0.2">
      <c r="A947" s="347">
        <f t="shared" ca="1" si="412"/>
        <v>1E-4</v>
      </c>
      <c r="B947" s="304">
        <f t="shared" ca="1" si="413"/>
        <v>39.418900000000875</v>
      </c>
      <c r="D947" s="306">
        <f t="shared" ca="1" si="414"/>
        <v>-0.41128707837074874</v>
      </c>
      <c r="E947" s="307">
        <f t="shared" ca="1" si="415"/>
        <v>-1.79011126695036</v>
      </c>
      <c r="F947" s="304">
        <f t="shared" ca="1" si="416"/>
        <v>1.8367513192855938</v>
      </c>
      <c r="G947" s="306">
        <f t="shared" ca="1" si="417"/>
        <v>6.8422264199599825</v>
      </c>
      <c r="H947" s="307">
        <f t="shared" ca="1" si="418"/>
        <v>-133.42091432682912</v>
      </c>
      <c r="I947" s="304">
        <f t="shared" ca="1" si="419"/>
        <v>133.59624411707492</v>
      </c>
      <c r="J947" s="306">
        <f t="shared" ca="1" si="420"/>
        <v>539.267207314762</v>
      </c>
      <c r="K947" s="307">
        <f t="shared" ca="1" si="421"/>
        <v>-11.901251153708102</v>
      </c>
      <c r="L947" s="304">
        <f t="shared" ca="1" si="406"/>
        <v>539.39851748413821</v>
      </c>
      <c r="M947" s="306">
        <f t="shared" ca="1" si="422"/>
        <v>-1.5195582006740536</v>
      </c>
      <c r="N947" s="304">
        <f t="shared" ca="1" si="423"/>
        <v>-87.064271623116682</v>
      </c>
      <c r="P947" s="310">
        <f t="shared" ca="1" si="424"/>
        <v>23</v>
      </c>
      <c r="Q947" s="304">
        <f t="shared" ca="1" si="425"/>
        <v>0</v>
      </c>
      <c r="R947" s="306">
        <f t="shared" ca="1" si="426"/>
        <v>0</v>
      </c>
      <c r="S947" s="307">
        <f t="shared" ca="1" si="427"/>
        <v>6.8519999999999914</v>
      </c>
      <c r="T947" s="304">
        <f t="shared" ca="1" si="407"/>
        <v>67.218119999999914</v>
      </c>
      <c r="U947" s="311">
        <f t="shared" ca="1" si="408"/>
        <v>0</v>
      </c>
      <c r="V947" s="306">
        <f t="shared" ca="1" si="409"/>
        <v>1.2264587713265258</v>
      </c>
      <c r="W947" s="304">
        <f t="shared" ca="1" si="410"/>
        <v>55.024710956178069</v>
      </c>
      <c r="Y947" s="314" t="str">
        <f t="shared" ca="1" si="428"/>
        <v/>
      </c>
      <c r="Z947" s="315" t="str">
        <f t="shared" ca="1" si="429"/>
        <v/>
      </c>
      <c r="AA947" s="316" t="str">
        <f t="shared" ca="1" si="430"/>
        <v/>
      </c>
      <c r="AC947" s="310" t="e">
        <f t="shared" ca="1" si="431"/>
        <v>#N/A</v>
      </c>
      <c r="AD947" s="323" t="e">
        <f t="shared" ca="1" si="432"/>
        <v>#N/A</v>
      </c>
      <c r="AE947" s="324" t="e">
        <f t="shared" ca="1" si="411"/>
        <v>#N/A</v>
      </c>
      <c r="AG947" s="306">
        <f t="shared" ca="1" si="433"/>
        <v>1.7666974022044357</v>
      </c>
      <c r="AH947" s="304">
        <f t="shared" ca="1" si="434"/>
        <v>-8.0304279058672403</v>
      </c>
    </row>
    <row r="948" spans="1:34" x14ac:dyDescent="0.2">
      <c r="A948" s="347">
        <f t="shared" ca="1" si="412"/>
        <v>1E-4</v>
      </c>
      <c r="B948" s="304">
        <f t="shared" ca="1" si="413"/>
        <v>39.419000000000878</v>
      </c>
      <c r="D948" s="306">
        <f t="shared" ca="1" si="414"/>
        <v>-0.41128569876435678</v>
      </c>
      <c r="E948" s="307">
        <f t="shared" ca="1" si="415"/>
        <v>-1.7900792007391306</v>
      </c>
      <c r="F948" s="304">
        <f t="shared" ca="1" si="416"/>
        <v>1.83671975840816</v>
      </c>
      <c r="G948" s="306">
        <f t="shared" ca="1" si="417"/>
        <v>6.8421852913901064</v>
      </c>
      <c r="H948" s="307">
        <f t="shared" ca="1" si="418"/>
        <v>-133.4210933347492</v>
      </c>
      <c r="I948" s="304">
        <f t="shared" ca="1" si="419"/>
        <v>133.59642078364814</v>
      </c>
      <c r="J948" s="306">
        <f t="shared" ca="1" si="420"/>
        <v>539.267207314762</v>
      </c>
      <c r="K948" s="307">
        <f t="shared" ca="1" si="421"/>
        <v>-11.914593254091182</v>
      </c>
      <c r="L948" s="304">
        <f t="shared" ca="1" si="406"/>
        <v>539.39881202823665</v>
      </c>
      <c r="M948" s="306">
        <f t="shared" ca="1" si="422"/>
        <v>-1.519558576751576</v>
      </c>
      <c r="N948" s="304">
        <f t="shared" ca="1" si="423"/>
        <v>-87.064293170771478</v>
      </c>
      <c r="P948" s="310">
        <f t="shared" ca="1" si="424"/>
        <v>23</v>
      </c>
      <c r="Q948" s="304">
        <f t="shared" ca="1" si="425"/>
        <v>0</v>
      </c>
      <c r="R948" s="306">
        <f t="shared" ca="1" si="426"/>
        <v>0</v>
      </c>
      <c r="S948" s="307">
        <f t="shared" ca="1" si="427"/>
        <v>6.8519999999999914</v>
      </c>
      <c r="T948" s="304">
        <f t="shared" ca="1" si="407"/>
        <v>67.218119999999914</v>
      </c>
      <c r="U948" s="311">
        <f t="shared" ca="1" si="408"/>
        <v>0</v>
      </c>
      <c r="V948" s="306">
        <f t="shared" ca="1" si="409"/>
        <v>1.2264604076818022</v>
      </c>
      <c r="W948" s="304">
        <f t="shared" ca="1" si="410"/>
        <v>55.024929899514611</v>
      </c>
      <c r="Y948" s="314" t="str">
        <f t="shared" ca="1" si="428"/>
        <v/>
      </c>
      <c r="Z948" s="315" t="str">
        <f t="shared" ca="1" si="429"/>
        <v/>
      </c>
      <c r="AA948" s="316" t="str">
        <f t="shared" ca="1" si="430"/>
        <v/>
      </c>
      <c r="AC948" s="310" t="e">
        <f t="shared" ca="1" si="431"/>
        <v>#N/A</v>
      </c>
      <c r="AD948" s="323" t="e">
        <f t="shared" ca="1" si="432"/>
        <v>#N/A</v>
      </c>
      <c r="AE948" s="324" t="e">
        <f t="shared" ca="1" si="411"/>
        <v>#N/A</v>
      </c>
      <c r="AG948" s="306">
        <f t="shared" ca="1" si="433"/>
        <v>1.766665637688023</v>
      </c>
      <c r="AH948" s="304">
        <f t="shared" ca="1" si="434"/>
        <v>-8.0304598593371477</v>
      </c>
    </row>
    <row r="949" spans="1:34" x14ac:dyDescent="0.2">
      <c r="A949" s="347">
        <f t="shared" ca="1" si="412"/>
        <v>1E-4</v>
      </c>
      <c r="B949" s="304">
        <f t="shared" ca="1" si="413"/>
        <v>39.419100000000881</v>
      </c>
      <c r="D949" s="306">
        <f t="shared" ca="1" si="414"/>
        <v>-0.41128431914626457</v>
      </c>
      <c r="E949" s="307">
        <f t="shared" ca="1" si="415"/>
        <v>-1.7900471347972164</v>
      </c>
      <c r="F949" s="304">
        <f t="shared" ca="1" si="416"/>
        <v>1.8366881978091247</v>
      </c>
      <c r="G949" s="306">
        <f t="shared" ca="1" si="417"/>
        <v>6.8421441629581921</v>
      </c>
      <c r="H949" s="307">
        <f t="shared" ca="1" si="418"/>
        <v>-133.42127233946269</v>
      </c>
      <c r="I949" s="304">
        <f t="shared" ca="1" si="419"/>
        <v>133.59659744704493</v>
      </c>
      <c r="J949" s="306">
        <f t="shared" ca="1" si="420"/>
        <v>539.267207314762</v>
      </c>
      <c r="K949" s="307">
        <f t="shared" ca="1" si="421"/>
        <v>-11.927935372374893</v>
      </c>
      <c r="L949" s="304">
        <f t="shared" ca="1" si="406"/>
        <v>539.39910690258853</v>
      </c>
      <c r="M949" s="306">
        <f t="shared" ca="1" si="422"/>
        <v>-1.5195589528258435</v>
      </c>
      <c r="N949" s="304">
        <f t="shared" ca="1" si="423"/>
        <v>-87.0643147182398</v>
      </c>
      <c r="P949" s="310">
        <f t="shared" ca="1" si="424"/>
        <v>23</v>
      </c>
      <c r="Q949" s="304">
        <f t="shared" ca="1" si="425"/>
        <v>0</v>
      </c>
      <c r="R949" s="306">
        <f t="shared" ca="1" si="426"/>
        <v>0</v>
      </c>
      <c r="S949" s="307">
        <f t="shared" ca="1" si="427"/>
        <v>6.8519999999999914</v>
      </c>
      <c r="T949" s="304">
        <f t="shared" ca="1" si="407"/>
        <v>67.218119999999914</v>
      </c>
      <c r="U949" s="311">
        <f t="shared" ca="1" si="408"/>
        <v>0</v>
      </c>
      <c r="V949" s="306">
        <f t="shared" ca="1" si="409"/>
        <v>1.226462044041458</v>
      </c>
      <c r="W949" s="304">
        <f t="shared" ca="1" si="410"/>
        <v>55.025148841011813</v>
      </c>
      <c r="Y949" s="314" t="str">
        <f t="shared" ca="1" si="428"/>
        <v/>
      </c>
      <c r="Z949" s="315" t="str">
        <f t="shared" ca="1" si="429"/>
        <v/>
      </c>
      <c r="AA949" s="316" t="str">
        <f t="shared" ca="1" si="430"/>
        <v/>
      </c>
      <c r="AC949" s="310" t="e">
        <f t="shared" ca="1" si="431"/>
        <v>#N/A</v>
      </c>
      <c r="AD949" s="323" t="e">
        <f t="shared" ca="1" si="432"/>
        <v>#N/A</v>
      </c>
      <c r="AE949" s="324" t="e">
        <f t="shared" ca="1" si="411"/>
        <v>#N/A</v>
      </c>
      <c r="AG949" s="306">
        <f t="shared" ca="1" si="433"/>
        <v>1.7666338734370157</v>
      </c>
      <c r="AH949" s="304">
        <f t="shared" ca="1" si="434"/>
        <v>-8.030491812538628</v>
      </c>
    </row>
    <row r="950" spans="1:34" x14ac:dyDescent="0.2">
      <c r="A950" s="347">
        <f t="shared" ca="1" si="412"/>
        <v>1E-4</v>
      </c>
      <c r="B950" s="304">
        <f t="shared" ca="1" si="413"/>
        <v>39.419200000000885</v>
      </c>
      <c r="D950" s="306">
        <f t="shared" ca="1" si="414"/>
        <v>-0.4112829395164686</v>
      </c>
      <c r="E950" s="307">
        <f t="shared" ca="1" si="415"/>
        <v>-1.7900150691246317</v>
      </c>
      <c r="F950" s="304">
        <f t="shared" ca="1" si="416"/>
        <v>1.8366566374885012</v>
      </c>
      <c r="G950" s="306">
        <f t="shared" ca="1" si="417"/>
        <v>6.8421030346642402</v>
      </c>
      <c r="H950" s="307">
        <f t="shared" ca="1" si="418"/>
        <v>-133.42145134096961</v>
      </c>
      <c r="I950" s="304">
        <f t="shared" ca="1" si="419"/>
        <v>133.59677410726533</v>
      </c>
      <c r="J950" s="306">
        <f t="shared" ca="1" si="420"/>
        <v>539.267207314762</v>
      </c>
      <c r="K950" s="307">
        <f t="shared" ca="1" si="421"/>
        <v>-11.941277508558915</v>
      </c>
      <c r="L950" s="304">
        <f t="shared" ca="1" si="406"/>
        <v>539.39940210719453</v>
      </c>
      <c r="M950" s="306">
        <f t="shared" ca="1" si="422"/>
        <v>-1.5195593288968556</v>
      </c>
      <c r="N950" s="304">
        <f t="shared" ca="1" si="423"/>
        <v>-87.06433626552159</v>
      </c>
      <c r="P950" s="310">
        <f t="shared" ca="1" si="424"/>
        <v>23</v>
      </c>
      <c r="Q950" s="304">
        <f t="shared" ca="1" si="425"/>
        <v>0</v>
      </c>
      <c r="R950" s="306">
        <f t="shared" ca="1" si="426"/>
        <v>0</v>
      </c>
      <c r="S950" s="307">
        <f t="shared" ca="1" si="427"/>
        <v>6.8519999999999914</v>
      </c>
      <c r="T950" s="304">
        <f t="shared" ca="1" si="407"/>
        <v>67.218119999999914</v>
      </c>
      <c r="U950" s="311">
        <f t="shared" ca="1" si="408"/>
        <v>0</v>
      </c>
      <c r="V950" s="306">
        <f t="shared" ca="1" si="409"/>
        <v>1.2264636804054938</v>
      </c>
      <c r="W950" s="304">
        <f t="shared" ca="1" si="410"/>
        <v>55.02536778066974</v>
      </c>
      <c r="Y950" s="314" t="str">
        <f t="shared" ca="1" si="428"/>
        <v/>
      </c>
      <c r="Z950" s="315" t="str">
        <f t="shared" ca="1" si="429"/>
        <v/>
      </c>
      <c r="AA950" s="316" t="str">
        <f t="shared" ca="1" si="430"/>
        <v/>
      </c>
      <c r="AC950" s="310" t="e">
        <f t="shared" ca="1" si="431"/>
        <v>#N/A</v>
      </c>
      <c r="AD950" s="323" t="e">
        <f t="shared" ca="1" si="432"/>
        <v>#N/A</v>
      </c>
      <c r="AE950" s="324" t="e">
        <f t="shared" ca="1" si="411"/>
        <v>#N/A</v>
      </c>
      <c r="AG950" s="306">
        <f t="shared" ca="1" si="433"/>
        <v>1.7666021094514281</v>
      </c>
      <c r="AH950" s="304">
        <f t="shared" ca="1" si="434"/>
        <v>-8.0305237654716706</v>
      </c>
    </row>
    <row r="951" spans="1:34" x14ac:dyDescent="0.2">
      <c r="A951" s="347">
        <f t="shared" ca="1" si="412"/>
        <v>1E-4</v>
      </c>
      <c r="B951" s="304">
        <f t="shared" ca="1" si="413"/>
        <v>39.419300000000888</v>
      </c>
      <c r="D951" s="306">
        <f t="shared" ca="1" si="414"/>
        <v>-0.41128155987497339</v>
      </c>
      <c r="E951" s="307">
        <f t="shared" ca="1" si="415"/>
        <v>-1.7899830037213675</v>
      </c>
      <c r="F951" s="304">
        <f t="shared" ca="1" si="416"/>
        <v>1.8366250774462818</v>
      </c>
      <c r="G951" s="306">
        <f t="shared" ca="1" si="417"/>
        <v>6.8420619065082526</v>
      </c>
      <c r="H951" s="307">
        <f t="shared" ca="1" si="418"/>
        <v>-133.42163033927</v>
      </c>
      <c r="I951" s="304">
        <f t="shared" ca="1" si="419"/>
        <v>133.59695076430938</v>
      </c>
      <c r="J951" s="306">
        <f t="shared" ca="1" si="420"/>
        <v>539.267207314762</v>
      </c>
      <c r="K951" s="307">
        <f t="shared" ca="1" si="421"/>
        <v>-11.954619662642928</v>
      </c>
      <c r="L951" s="304">
        <f t="shared" ca="1" si="406"/>
        <v>539.39969764205557</v>
      </c>
      <c r="M951" s="306">
        <f t="shared" ca="1" si="422"/>
        <v>-1.5195597049646128</v>
      </c>
      <c r="N951" s="304">
        <f t="shared" ca="1" si="423"/>
        <v>-87.064357812616876</v>
      </c>
      <c r="P951" s="310">
        <f t="shared" ca="1" si="424"/>
        <v>23</v>
      </c>
      <c r="Q951" s="304">
        <f t="shared" ca="1" si="425"/>
        <v>0</v>
      </c>
      <c r="R951" s="306">
        <f t="shared" ca="1" si="426"/>
        <v>0</v>
      </c>
      <c r="S951" s="307">
        <f t="shared" ca="1" si="427"/>
        <v>6.8519999999999914</v>
      </c>
      <c r="T951" s="304">
        <f t="shared" ca="1" si="407"/>
        <v>67.218119999999914</v>
      </c>
      <c r="U951" s="311">
        <f t="shared" ca="1" si="408"/>
        <v>0</v>
      </c>
      <c r="V951" s="306">
        <f t="shared" ca="1" si="409"/>
        <v>1.2264653167739099</v>
      </c>
      <c r="W951" s="304">
        <f t="shared" ca="1" si="410"/>
        <v>55.025586718488412</v>
      </c>
      <c r="Y951" s="314" t="str">
        <f t="shared" ca="1" si="428"/>
        <v/>
      </c>
      <c r="Z951" s="315" t="str">
        <f t="shared" ca="1" si="429"/>
        <v/>
      </c>
      <c r="AA951" s="316" t="str">
        <f t="shared" ca="1" si="430"/>
        <v/>
      </c>
      <c r="AC951" s="310" t="e">
        <f t="shared" ca="1" si="431"/>
        <v>#N/A</v>
      </c>
      <c r="AD951" s="323" t="e">
        <f t="shared" ca="1" si="432"/>
        <v>#N/A</v>
      </c>
      <c r="AE951" s="324" t="e">
        <f t="shared" ca="1" si="411"/>
        <v>#N/A</v>
      </c>
      <c r="AG951" s="306">
        <f t="shared" ca="1" si="433"/>
        <v>1.7665703457312461</v>
      </c>
      <c r="AH951" s="304">
        <f t="shared" ca="1" si="434"/>
        <v>-8.0305557181362826</v>
      </c>
    </row>
    <row r="952" spans="1:34" x14ac:dyDescent="0.2">
      <c r="A952" s="347">
        <f t="shared" ca="1" si="412"/>
        <v>1E-4</v>
      </c>
      <c r="B952" s="304">
        <f t="shared" ca="1" si="413"/>
        <v>39.419400000000891</v>
      </c>
      <c r="D952" s="306">
        <f t="shared" ca="1" si="414"/>
        <v>-0.41128018022177631</v>
      </c>
      <c r="E952" s="307">
        <f t="shared" ca="1" si="415"/>
        <v>-1.7899509385874168</v>
      </c>
      <c r="F952" s="304">
        <f t="shared" ca="1" si="416"/>
        <v>1.8365935176824597</v>
      </c>
      <c r="G952" s="306">
        <f t="shared" ca="1" si="417"/>
        <v>6.8420207784902303</v>
      </c>
      <c r="H952" s="307">
        <f t="shared" ca="1" si="418"/>
        <v>-133.42180933436384</v>
      </c>
      <c r="I952" s="304">
        <f t="shared" ca="1" si="419"/>
        <v>133.59712741817702</v>
      </c>
      <c r="J952" s="306">
        <f t="shared" ca="1" si="420"/>
        <v>539.267207314762</v>
      </c>
      <c r="K952" s="307">
        <f t="shared" ca="1" si="421"/>
        <v>-11.96796183462661</v>
      </c>
      <c r="L952" s="304">
        <f t="shared" ca="1" si="406"/>
        <v>539.39999350717233</v>
      </c>
      <c r="M952" s="306">
        <f t="shared" ca="1" si="422"/>
        <v>-1.5195600810291146</v>
      </c>
      <c r="N952" s="304">
        <f t="shared" ca="1" si="423"/>
        <v>-87.06437935952566</v>
      </c>
      <c r="P952" s="310">
        <f t="shared" ca="1" si="424"/>
        <v>23</v>
      </c>
      <c r="Q952" s="304">
        <f t="shared" ca="1" si="425"/>
        <v>0</v>
      </c>
      <c r="R952" s="306">
        <f t="shared" ca="1" si="426"/>
        <v>0</v>
      </c>
      <c r="S952" s="307">
        <f t="shared" ca="1" si="427"/>
        <v>6.8519999999999914</v>
      </c>
      <c r="T952" s="304">
        <f t="shared" ca="1" si="407"/>
        <v>67.218119999999914</v>
      </c>
      <c r="U952" s="311">
        <f t="shared" ca="1" si="408"/>
        <v>0</v>
      </c>
      <c r="V952" s="306">
        <f t="shared" ca="1" si="409"/>
        <v>1.2264669531467056</v>
      </c>
      <c r="W952" s="304">
        <f t="shared" ca="1" si="410"/>
        <v>55.025805654467717</v>
      </c>
      <c r="Y952" s="314" t="str">
        <f t="shared" ca="1" si="428"/>
        <v/>
      </c>
      <c r="Z952" s="315" t="str">
        <f t="shared" ca="1" si="429"/>
        <v/>
      </c>
      <c r="AA952" s="316" t="str">
        <f t="shared" ca="1" si="430"/>
        <v/>
      </c>
      <c r="AC952" s="310" t="e">
        <f t="shared" ca="1" si="431"/>
        <v>#N/A</v>
      </c>
      <c r="AD952" s="323" t="e">
        <f t="shared" ca="1" si="432"/>
        <v>#N/A</v>
      </c>
      <c r="AE952" s="324" t="e">
        <f t="shared" ca="1" si="411"/>
        <v>#N/A</v>
      </c>
      <c r="AG952" s="306">
        <f t="shared" ca="1" si="433"/>
        <v>1.7665385822764694</v>
      </c>
      <c r="AH952" s="304">
        <f t="shared" ca="1" si="434"/>
        <v>-8.0305876705324692</v>
      </c>
    </row>
    <row r="953" spans="1:34" x14ac:dyDescent="0.2">
      <c r="A953" s="347">
        <f t="shared" ca="1" si="412"/>
        <v>1E-4</v>
      </c>
      <c r="B953" s="304">
        <f t="shared" ca="1" si="413"/>
        <v>39.419500000000895</v>
      </c>
      <c r="D953" s="306">
        <f t="shared" ca="1" si="414"/>
        <v>-0.41127880055688071</v>
      </c>
      <c r="E953" s="307">
        <f t="shared" ca="1" si="415"/>
        <v>-1.7899188737227991</v>
      </c>
      <c r="F953" s="304">
        <f t="shared" ca="1" si="416"/>
        <v>1.8365619581970547</v>
      </c>
      <c r="G953" s="306">
        <f t="shared" ca="1" si="417"/>
        <v>6.8419796506101749</v>
      </c>
      <c r="H953" s="307">
        <f t="shared" ca="1" si="418"/>
        <v>-133.42198832625121</v>
      </c>
      <c r="I953" s="304">
        <f t="shared" ca="1" si="419"/>
        <v>133.5973040688684</v>
      </c>
      <c r="J953" s="306">
        <f t="shared" ca="1" si="420"/>
        <v>539.267207314762</v>
      </c>
      <c r="K953" s="307">
        <f t="shared" ca="1" si="421"/>
        <v>-11.98130402450964</v>
      </c>
      <c r="L953" s="304">
        <f t="shared" ca="1" si="406"/>
        <v>539.40028970254571</v>
      </c>
      <c r="M953" s="306">
        <f t="shared" ca="1" si="422"/>
        <v>-1.5195604570903614</v>
      </c>
      <c r="N953" s="304">
        <f t="shared" ca="1" si="423"/>
        <v>-87.06440090624794</v>
      </c>
      <c r="P953" s="310">
        <f t="shared" ca="1" si="424"/>
        <v>23</v>
      </c>
      <c r="Q953" s="304">
        <f t="shared" ca="1" si="425"/>
        <v>0</v>
      </c>
      <c r="R953" s="306">
        <f t="shared" ca="1" si="426"/>
        <v>0</v>
      </c>
      <c r="S953" s="307">
        <f t="shared" ca="1" si="427"/>
        <v>6.8519999999999914</v>
      </c>
      <c r="T953" s="304">
        <f t="shared" ca="1" si="407"/>
        <v>67.218119999999914</v>
      </c>
      <c r="U953" s="311">
        <f t="shared" ca="1" si="408"/>
        <v>0</v>
      </c>
      <c r="V953" s="306">
        <f t="shared" ca="1" si="409"/>
        <v>1.2264685895238812</v>
      </c>
      <c r="W953" s="304">
        <f t="shared" ca="1" si="410"/>
        <v>55.026024588607768</v>
      </c>
      <c r="Y953" s="314" t="str">
        <f t="shared" ca="1" si="428"/>
        <v/>
      </c>
      <c r="Z953" s="315" t="str">
        <f t="shared" ca="1" si="429"/>
        <v/>
      </c>
      <c r="AA953" s="316" t="str">
        <f t="shared" ca="1" si="430"/>
        <v/>
      </c>
      <c r="AC953" s="310" t="e">
        <f t="shared" ca="1" si="431"/>
        <v>#N/A</v>
      </c>
      <c r="AD953" s="323" t="e">
        <f t="shared" ca="1" si="432"/>
        <v>#N/A</v>
      </c>
      <c r="AE953" s="324" t="e">
        <f t="shared" ca="1" si="411"/>
        <v>#N/A</v>
      </c>
      <c r="AG953" s="306">
        <f t="shared" ca="1" si="433"/>
        <v>1.7665068190871143</v>
      </c>
      <c r="AH953" s="304">
        <f t="shared" ca="1" si="434"/>
        <v>-8.0306196226602147</v>
      </c>
    </row>
    <row r="954" spans="1:34" x14ac:dyDescent="0.2">
      <c r="A954" s="347">
        <f t="shared" ca="1" si="412"/>
        <v>1E-4</v>
      </c>
      <c r="B954" s="304">
        <f t="shared" ca="1" si="413"/>
        <v>39.419600000000898</v>
      </c>
      <c r="D954" s="306">
        <f t="shared" ca="1" si="414"/>
        <v>-0.41127742088028435</v>
      </c>
      <c r="E954" s="307">
        <f t="shared" ca="1" si="415"/>
        <v>-1.7898868091274984</v>
      </c>
      <c r="F954" s="304">
        <f t="shared" ca="1" si="416"/>
        <v>1.8365303989900512</v>
      </c>
      <c r="G954" s="306">
        <f t="shared" ca="1" si="417"/>
        <v>6.8419385228680865</v>
      </c>
      <c r="H954" s="307">
        <f t="shared" ca="1" si="418"/>
        <v>-133.42216731493212</v>
      </c>
      <c r="I954" s="304">
        <f t="shared" ca="1" si="419"/>
        <v>133.59748071638344</v>
      </c>
      <c r="J954" s="306">
        <f t="shared" ca="1" si="420"/>
        <v>539.267207314762</v>
      </c>
      <c r="K954" s="307">
        <f t="shared" ca="1" si="421"/>
        <v>-11.9946462322917</v>
      </c>
      <c r="L954" s="304">
        <f t="shared" ca="1" si="406"/>
        <v>539.40058622817639</v>
      </c>
      <c r="M954" s="306">
        <f t="shared" ca="1" si="422"/>
        <v>-1.5195608331483532</v>
      </c>
      <c r="N954" s="304">
        <f t="shared" ca="1" si="423"/>
        <v>-87.064422452783717</v>
      </c>
      <c r="P954" s="310">
        <f t="shared" ca="1" si="424"/>
        <v>23</v>
      </c>
      <c r="Q954" s="304">
        <f t="shared" ca="1" si="425"/>
        <v>0</v>
      </c>
      <c r="R954" s="306">
        <f t="shared" ca="1" si="426"/>
        <v>0</v>
      </c>
      <c r="S954" s="307">
        <f t="shared" ca="1" si="427"/>
        <v>6.8519999999999914</v>
      </c>
      <c r="T954" s="304">
        <f t="shared" ca="1" si="407"/>
        <v>67.218119999999914</v>
      </c>
      <c r="U954" s="311">
        <f t="shared" ca="1" si="408"/>
        <v>0</v>
      </c>
      <c r="V954" s="306">
        <f t="shared" ca="1" si="409"/>
        <v>1.2264702259054365</v>
      </c>
      <c r="W954" s="304">
        <f t="shared" ca="1" si="410"/>
        <v>55.026243520908523</v>
      </c>
      <c r="Y954" s="314" t="str">
        <f t="shared" ca="1" si="428"/>
        <v/>
      </c>
      <c r="Z954" s="315" t="str">
        <f t="shared" ca="1" si="429"/>
        <v/>
      </c>
      <c r="AA954" s="316" t="str">
        <f t="shared" ca="1" si="430"/>
        <v/>
      </c>
      <c r="AC954" s="310" t="e">
        <f t="shared" ca="1" si="431"/>
        <v>#N/A</v>
      </c>
      <c r="AD954" s="323" t="e">
        <f t="shared" ca="1" si="432"/>
        <v>#N/A</v>
      </c>
      <c r="AE954" s="324" t="e">
        <f t="shared" ca="1" si="411"/>
        <v>#N/A</v>
      </c>
      <c r="AG954" s="306">
        <f t="shared" ca="1" si="433"/>
        <v>1.7664750561631646</v>
      </c>
      <c r="AH954" s="304">
        <f t="shared" ca="1" si="434"/>
        <v>-8.030651574519533</v>
      </c>
    </row>
    <row r="955" spans="1:34" x14ac:dyDescent="0.2">
      <c r="A955" s="347">
        <f t="shared" ca="1" si="412"/>
        <v>1E-4</v>
      </c>
      <c r="B955" s="304">
        <f t="shared" ca="1" si="413"/>
        <v>39.419700000000901</v>
      </c>
      <c r="D955" s="306">
        <f t="shared" ca="1" si="414"/>
        <v>-0.41127604119198757</v>
      </c>
      <c r="E955" s="307">
        <f t="shared" ca="1" si="415"/>
        <v>-1.7898547448015183</v>
      </c>
      <c r="F955" s="304">
        <f t="shared" ca="1" si="416"/>
        <v>1.8364988400614528</v>
      </c>
      <c r="G955" s="306">
        <f t="shared" ca="1" si="417"/>
        <v>6.8418973952639677</v>
      </c>
      <c r="H955" s="307">
        <f t="shared" ca="1" si="418"/>
        <v>-133.42234630040662</v>
      </c>
      <c r="I955" s="304">
        <f t="shared" ca="1" si="419"/>
        <v>133.59765736072225</v>
      </c>
      <c r="J955" s="306">
        <f t="shared" ca="1" si="420"/>
        <v>539.267207314762</v>
      </c>
      <c r="K955" s="307">
        <f t="shared" ca="1" si="421"/>
        <v>-12.007988457972466</v>
      </c>
      <c r="L955" s="304">
        <f t="shared" ca="1" si="406"/>
        <v>539.40088308406507</v>
      </c>
      <c r="M955" s="306">
        <f t="shared" ca="1" si="422"/>
        <v>-1.5195612092030901</v>
      </c>
      <c r="N955" s="304">
        <f t="shared" ca="1" si="423"/>
        <v>-87.064443999133019</v>
      </c>
      <c r="P955" s="310">
        <f t="shared" ca="1" si="424"/>
        <v>23</v>
      </c>
      <c r="Q955" s="304">
        <f t="shared" ca="1" si="425"/>
        <v>0</v>
      </c>
      <c r="R955" s="306">
        <f t="shared" ca="1" si="426"/>
        <v>0</v>
      </c>
      <c r="S955" s="307">
        <f t="shared" ca="1" si="427"/>
        <v>6.8519999999999914</v>
      </c>
      <c r="T955" s="304">
        <f t="shared" ca="1" si="407"/>
        <v>67.218119999999914</v>
      </c>
      <c r="U955" s="311">
        <f t="shared" ca="1" si="408"/>
        <v>0</v>
      </c>
      <c r="V955" s="306">
        <f t="shared" ca="1" si="409"/>
        <v>1.226471862291372</v>
      </c>
      <c r="W955" s="304">
        <f t="shared" ca="1" si="410"/>
        <v>55.026462451370016</v>
      </c>
      <c r="Y955" s="314" t="str">
        <f t="shared" ca="1" si="428"/>
        <v/>
      </c>
      <c r="Z955" s="315" t="str">
        <f t="shared" ca="1" si="429"/>
        <v/>
      </c>
      <c r="AA955" s="316" t="str">
        <f t="shared" ca="1" si="430"/>
        <v/>
      </c>
      <c r="AC955" s="310" t="e">
        <f t="shared" ca="1" si="431"/>
        <v>#N/A</v>
      </c>
      <c r="AD955" s="323" t="e">
        <f t="shared" ca="1" si="432"/>
        <v>#N/A</v>
      </c>
      <c r="AE955" s="324" t="e">
        <f t="shared" ca="1" si="411"/>
        <v>#N/A</v>
      </c>
      <c r="AG955" s="306">
        <f t="shared" ca="1" si="433"/>
        <v>1.7664432935046257</v>
      </c>
      <c r="AH955" s="304">
        <f t="shared" ca="1" si="434"/>
        <v>-8.030683526110419</v>
      </c>
    </row>
    <row r="956" spans="1:34" x14ac:dyDescent="0.2">
      <c r="A956" s="347">
        <f t="shared" ca="1" si="412"/>
        <v>1E-4</v>
      </c>
      <c r="B956" s="304">
        <f t="shared" ca="1" si="413"/>
        <v>39.419800000000905</v>
      </c>
      <c r="D956" s="306">
        <f t="shared" ca="1" si="414"/>
        <v>-0.41127466149199132</v>
      </c>
      <c r="E956" s="307">
        <f t="shared" ca="1" si="415"/>
        <v>-1.789822680744857</v>
      </c>
      <c r="F956" s="304">
        <f t="shared" ca="1" si="416"/>
        <v>1.8364672814112584</v>
      </c>
      <c r="G956" s="306">
        <f t="shared" ca="1" si="417"/>
        <v>6.8418562677978185</v>
      </c>
      <c r="H956" s="307">
        <f t="shared" ca="1" si="418"/>
        <v>-133.42252528267468</v>
      </c>
      <c r="I956" s="304">
        <f t="shared" ca="1" si="419"/>
        <v>133.59783400188482</v>
      </c>
      <c r="J956" s="306">
        <f t="shared" ca="1" si="420"/>
        <v>539.267207314762</v>
      </c>
      <c r="K956" s="307">
        <f t="shared" ca="1" si="421"/>
        <v>-12.021330701551621</v>
      </c>
      <c r="L956" s="304">
        <f t="shared" ca="1" si="406"/>
        <v>539.40118027021276</v>
      </c>
      <c r="M956" s="306">
        <f t="shared" ca="1" si="422"/>
        <v>-1.5195615852545721</v>
      </c>
      <c r="N956" s="304">
        <f t="shared" ca="1" si="423"/>
        <v>-87.064465545295803</v>
      </c>
      <c r="P956" s="310">
        <f t="shared" ca="1" si="424"/>
        <v>23</v>
      </c>
      <c r="Q956" s="304">
        <f t="shared" ca="1" si="425"/>
        <v>0</v>
      </c>
      <c r="R956" s="306">
        <f t="shared" ca="1" si="426"/>
        <v>0</v>
      </c>
      <c r="S956" s="307">
        <f t="shared" ca="1" si="427"/>
        <v>6.8519999999999914</v>
      </c>
      <c r="T956" s="304">
        <f t="shared" ca="1" si="407"/>
        <v>67.218119999999914</v>
      </c>
      <c r="U956" s="311">
        <f t="shared" ca="1" si="408"/>
        <v>0</v>
      </c>
      <c r="V956" s="306">
        <f t="shared" ca="1" si="409"/>
        <v>1.226473498681687</v>
      </c>
      <c r="W956" s="304">
        <f t="shared" ca="1" si="410"/>
        <v>55.026681379992212</v>
      </c>
      <c r="Y956" s="314" t="str">
        <f t="shared" ca="1" si="428"/>
        <v/>
      </c>
      <c r="Z956" s="315" t="str">
        <f t="shared" ca="1" si="429"/>
        <v/>
      </c>
      <c r="AA956" s="316" t="str">
        <f t="shared" ca="1" si="430"/>
        <v/>
      </c>
      <c r="AC956" s="310" t="e">
        <f t="shared" ca="1" si="431"/>
        <v>#N/A</v>
      </c>
      <c r="AD956" s="323" t="e">
        <f t="shared" ca="1" si="432"/>
        <v>#N/A</v>
      </c>
      <c r="AE956" s="324" t="e">
        <f t="shared" ca="1" si="411"/>
        <v>#N/A</v>
      </c>
      <c r="AG956" s="306">
        <f t="shared" ca="1" si="433"/>
        <v>1.7664115311114941</v>
      </c>
      <c r="AH956" s="304">
        <f t="shared" ca="1" si="434"/>
        <v>-8.0307154774328779</v>
      </c>
    </row>
    <row r="957" spans="1:34" x14ac:dyDescent="0.2">
      <c r="A957" s="347">
        <f t="shared" ca="1" si="412"/>
        <v>1E-4</v>
      </c>
      <c r="B957" s="304">
        <f t="shared" ca="1" si="413"/>
        <v>39.419900000000908</v>
      </c>
      <c r="D957" s="306">
        <f t="shared" ca="1" si="414"/>
        <v>-0.41127328178029593</v>
      </c>
      <c r="E957" s="307">
        <f t="shared" ca="1" si="415"/>
        <v>-1.7897906169575144</v>
      </c>
      <c r="F957" s="304">
        <f t="shared" ca="1" si="416"/>
        <v>1.8364357230394683</v>
      </c>
      <c r="G957" s="306">
        <f t="shared" ca="1" si="417"/>
        <v>6.8418151404696408</v>
      </c>
      <c r="H957" s="307">
        <f t="shared" ca="1" si="418"/>
        <v>-133.42270426173638</v>
      </c>
      <c r="I957" s="304">
        <f t="shared" ca="1" si="419"/>
        <v>133.59801063987115</v>
      </c>
      <c r="J957" s="306">
        <f t="shared" ca="1" si="420"/>
        <v>539.267207314762</v>
      </c>
      <c r="K957" s="307">
        <f t="shared" ca="1" si="421"/>
        <v>-12.034672963028841</v>
      </c>
      <c r="L957" s="304">
        <f t="shared" ca="1" si="406"/>
        <v>539.40147778662003</v>
      </c>
      <c r="M957" s="306">
        <f t="shared" ca="1" si="422"/>
        <v>-1.5195619613027991</v>
      </c>
      <c r="N957" s="304">
        <f t="shared" ca="1" si="423"/>
        <v>-87.064487091272113</v>
      </c>
      <c r="P957" s="310">
        <f t="shared" ca="1" si="424"/>
        <v>23</v>
      </c>
      <c r="Q957" s="304">
        <f t="shared" ca="1" si="425"/>
        <v>0</v>
      </c>
      <c r="R957" s="306">
        <f t="shared" ca="1" si="426"/>
        <v>0</v>
      </c>
      <c r="S957" s="307">
        <f t="shared" ca="1" si="427"/>
        <v>6.8519999999999914</v>
      </c>
      <c r="T957" s="304">
        <f t="shared" ca="1" si="407"/>
        <v>67.218119999999914</v>
      </c>
      <c r="U957" s="311">
        <f t="shared" ca="1" si="408"/>
        <v>0</v>
      </c>
      <c r="V957" s="306">
        <f t="shared" ca="1" si="409"/>
        <v>1.2264751350763823</v>
      </c>
      <c r="W957" s="304">
        <f t="shared" ca="1" si="410"/>
        <v>55.02690030677514</v>
      </c>
      <c r="Y957" s="314" t="str">
        <f t="shared" ca="1" si="428"/>
        <v/>
      </c>
      <c r="Z957" s="315" t="str">
        <f t="shared" ca="1" si="429"/>
        <v/>
      </c>
      <c r="AA957" s="316" t="str">
        <f t="shared" ca="1" si="430"/>
        <v/>
      </c>
      <c r="AC957" s="310" t="e">
        <f t="shared" ca="1" si="431"/>
        <v>#N/A</v>
      </c>
      <c r="AD957" s="323" t="e">
        <f t="shared" ca="1" si="432"/>
        <v>#N/A</v>
      </c>
      <c r="AE957" s="324" t="e">
        <f t="shared" ca="1" si="411"/>
        <v>#N/A</v>
      </c>
      <c r="AG957" s="306">
        <f t="shared" ca="1" si="433"/>
        <v>1.7663797689837715</v>
      </c>
      <c r="AH957" s="304">
        <f t="shared" ca="1" si="434"/>
        <v>-8.0307474284869063</v>
      </c>
    </row>
    <row r="958" spans="1:34" x14ac:dyDescent="0.2">
      <c r="A958" s="347">
        <f t="shared" ca="1" si="412"/>
        <v>1E-4</v>
      </c>
      <c r="B958" s="304">
        <f t="shared" ca="1" si="413"/>
        <v>39.420000000000911</v>
      </c>
      <c r="D958" s="306">
        <f t="shared" ca="1" si="414"/>
        <v>-0.41127190205690228</v>
      </c>
      <c r="E958" s="307">
        <f t="shared" ca="1" si="415"/>
        <v>-1.7897585534394924</v>
      </c>
      <c r="F958" s="304">
        <f t="shared" ca="1" si="416"/>
        <v>1.8364041649460847</v>
      </c>
      <c r="G958" s="306">
        <f t="shared" ca="1" si="417"/>
        <v>6.8417740132794354</v>
      </c>
      <c r="H958" s="307">
        <f t="shared" ca="1" si="418"/>
        <v>-133.42288323759172</v>
      </c>
      <c r="I958" s="304">
        <f t="shared" ca="1" si="419"/>
        <v>133.59818727468132</v>
      </c>
      <c r="J958" s="306">
        <f t="shared" ca="1" si="420"/>
        <v>539.267207314762</v>
      </c>
      <c r="K958" s="307">
        <f t="shared" ca="1" si="421"/>
        <v>-12.048015242403807</v>
      </c>
      <c r="L958" s="304">
        <f t="shared" ca="1" si="406"/>
        <v>539.40177563328768</v>
      </c>
      <c r="M958" s="306">
        <f t="shared" ca="1" si="422"/>
        <v>-1.5195623373477714</v>
      </c>
      <c r="N958" s="304">
        <f t="shared" ca="1" si="423"/>
        <v>-87.064508637061934</v>
      </c>
      <c r="P958" s="310">
        <f t="shared" ca="1" si="424"/>
        <v>23</v>
      </c>
      <c r="Q958" s="304">
        <f t="shared" ca="1" si="425"/>
        <v>0</v>
      </c>
      <c r="R958" s="306">
        <f t="shared" ca="1" si="426"/>
        <v>0</v>
      </c>
      <c r="S958" s="307">
        <f t="shared" ca="1" si="427"/>
        <v>6.8519999999999914</v>
      </c>
      <c r="T958" s="304">
        <f t="shared" ca="1" si="407"/>
        <v>67.218119999999914</v>
      </c>
      <c r="U958" s="311">
        <f t="shared" ca="1" si="408"/>
        <v>0</v>
      </c>
      <c r="V958" s="306">
        <f t="shared" ca="1" si="409"/>
        <v>1.2264767714754568</v>
      </c>
      <c r="W958" s="304">
        <f t="shared" ca="1" si="410"/>
        <v>55.027119231718792</v>
      </c>
      <c r="Y958" s="314" t="str">
        <f t="shared" ca="1" si="428"/>
        <v/>
      </c>
      <c r="Z958" s="315" t="str">
        <f t="shared" ca="1" si="429"/>
        <v/>
      </c>
      <c r="AA958" s="316" t="str">
        <f t="shared" ca="1" si="430"/>
        <v/>
      </c>
      <c r="AC958" s="310" t="e">
        <f t="shared" ca="1" si="431"/>
        <v>#N/A</v>
      </c>
      <c r="AD958" s="323" t="e">
        <f t="shared" ca="1" si="432"/>
        <v>#N/A</v>
      </c>
      <c r="AE958" s="324" t="e">
        <f t="shared" ca="1" si="411"/>
        <v>#N/A</v>
      </c>
      <c r="AG958" s="306">
        <f t="shared" ca="1" si="433"/>
        <v>1.7663480071214579</v>
      </c>
      <c r="AH958" s="304">
        <f t="shared" ca="1" si="434"/>
        <v>-8.0307793792725057</v>
      </c>
    </row>
    <row r="959" spans="1:34" x14ac:dyDescent="0.2">
      <c r="A959" s="347">
        <f t="shared" ca="1" si="412"/>
        <v>1E-4</v>
      </c>
      <c r="B959" s="304">
        <f t="shared" ca="1" si="413"/>
        <v>39.420100000000915</v>
      </c>
      <c r="D959" s="306">
        <f t="shared" ca="1" si="414"/>
        <v>-0.411270522321809</v>
      </c>
      <c r="E959" s="307">
        <f t="shared" ca="1" si="415"/>
        <v>-1.7897264901907874</v>
      </c>
      <c r="F959" s="304">
        <f t="shared" ca="1" si="416"/>
        <v>1.8363726071311042</v>
      </c>
      <c r="G959" s="306">
        <f t="shared" ca="1" si="417"/>
        <v>6.8417328862272031</v>
      </c>
      <c r="H959" s="307">
        <f t="shared" ca="1" si="418"/>
        <v>-133.42306221024074</v>
      </c>
      <c r="I959" s="304">
        <f t="shared" ca="1" si="419"/>
        <v>133.59836390631531</v>
      </c>
      <c r="J959" s="306">
        <f t="shared" ca="1" si="420"/>
        <v>539.267207314762</v>
      </c>
      <c r="K959" s="307">
        <f t="shared" ca="1" si="421"/>
        <v>-12.061357539676198</v>
      </c>
      <c r="L959" s="304">
        <f t="shared" ca="1" si="406"/>
        <v>539.40207381021662</v>
      </c>
      <c r="M959" s="306">
        <f t="shared" ca="1" si="422"/>
        <v>-1.5195627133894887</v>
      </c>
      <c r="N959" s="304">
        <f t="shared" ca="1" si="423"/>
        <v>-87.064530182665251</v>
      </c>
      <c r="P959" s="310">
        <f t="shared" ca="1" si="424"/>
        <v>23</v>
      </c>
      <c r="Q959" s="304">
        <f t="shared" ca="1" si="425"/>
        <v>0</v>
      </c>
      <c r="R959" s="306">
        <f t="shared" ca="1" si="426"/>
        <v>0</v>
      </c>
      <c r="S959" s="307">
        <f t="shared" ca="1" si="427"/>
        <v>6.8519999999999914</v>
      </c>
      <c r="T959" s="304">
        <f t="shared" ca="1" si="407"/>
        <v>67.218119999999914</v>
      </c>
      <c r="U959" s="311">
        <f t="shared" ca="1" si="408"/>
        <v>0</v>
      </c>
      <c r="V959" s="306">
        <f t="shared" ca="1" si="409"/>
        <v>1.2264784078789113</v>
      </c>
      <c r="W959" s="304">
        <f t="shared" ca="1" si="410"/>
        <v>55.027338154823141</v>
      </c>
      <c r="Y959" s="314" t="str">
        <f t="shared" ca="1" si="428"/>
        <v/>
      </c>
      <c r="Z959" s="315" t="str">
        <f t="shared" ca="1" si="429"/>
        <v/>
      </c>
      <c r="AA959" s="316" t="str">
        <f t="shared" ca="1" si="430"/>
        <v/>
      </c>
      <c r="AC959" s="310" t="e">
        <f t="shared" ca="1" si="431"/>
        <v>#N/A</v>
      </c>
      <c r="AD959" s="323" t="e">
        <f t="shared" ca="1" si="432"/>
        <v>#N/A</v>
      </c>
      <c r="AE959" s="324" t="e">
        <f t="shared" ca="1" si="411"/>
        <v>#N/A</v>
      </c>
      <c r="AG959" s="306">
        <f t="shared" ca="1" si="433"/>
        <v>1.7663162455245534</v>
      </c>
      <c r="AH959" s="304">
        <f t="shared" ca="1" si="434"/>
        <v>-8.0308113297896764</v>
      </c>
    </row>
    <row r="960" spans="1:34" x14ac:dyDescent="0.2">
      <c r="A960" s="347">
        <f t="shared" ca="1" si="412"/>
        <v>1E-4</v>
      </c>
      <c r="B960" s="304">
        <f t="shared" ca="1" si="413"/>
        <v>39.420200000000918</v>
      </c>
      <c r="D960" s="306">
        <f t="shared" ca="1" si="414"/>
        <v>-0.41126914257501834</v>
      </c>
      <c r="E960" s="307">
        <f t="shared" ca="1" si="415"/>
        <v>-1.7896944272114084</v>
      </c>
      <c r="F960" s="304">
        <f t="shared" ca="1" si="416"/>
        <v>1.836341049594536</v>
      </c>
      <c r="G960" s="306">
        <f t="shared" ca="1" si="417"/>
        <v>6.8416917593129458</v>
      </c>
      <c r="H960" s="307">
        <f t="shared" ca="1" si="418"/>
        <v>-133.42324117968346</v>
      </c>
      <c r="I960" s="304">
        <f t="shared" ca="1" si="419"/>
        <v>133.59854053477315</v>
      </c>
      <c r="J960" s="306">
        <f t="shared" ca="1" si="420"/>
        <v>539.267207314762</v>
      </c>
      <c r="K960" s="307">
        <f t="shared" ca="1" si="421"/>
        <v>-12.074699854845694</v>
      </c>
      <c r="L960" s="304">
        <f t="shared" ca="1" si="406"/>
        <v>539.40237231740753</v>
      </c>
      <c r="M960" s="306">
        <f t="shared" ca="1" si="422"/>
        <v>-1.5195630894279513</v>
      </c>
      <c r="N960" s="304">
        <f t="shared" ca="1" si="423"/>
        <v>-87.064551728082094</v>
      </c>
      <c r="P960" s="310">
        <f t="shared" ca="1" si="424"/>
        <v>23</v>
      </c>
      <c r="Q960" s="304">
        <f t="shared" ca="1" si="425"/>
        <v>0</v>
      </c>
      <c r="R960" s="306">
        <f t="shared" ca="1" si="426"/>
        <v>0</v>
      </c>
      <c r="S960" s="307">
        <f t="shared" ca="1" si="427"/>
        <v>6.8519999999999914</v>
      </c>
      <c r="T960" s="304">
        <f t="shared" ca="1" si="407"/>
        <v>67.218119999999914</v>
      </c>
      <c r="U960" s="311">
        <f t="shared" ca="1" si="408"/>
        <v>0</v>
      </c>
      <c r="V960" s="306">
        <f t="shared" ca="1" si="409"/>
        <v>1.2264800442867454</v>
      </c>
      <c r="W960" s="304">
        <f t="shared" ca="1" si="410"/>
        <v>55.027557076088222</v>
      </c>
      <c r="Y960" s="314" t="str">
        <f t="shared" ca="1" si="428"/>
        <v/>
      </c>
      <c r="Z960" s="315" t="str">
        <f t="shared" ca="1" si="429"/>
        <v/>
      </c>
      <c r="AA960" s="316" t="str">
        <f t="shared" ca="1" si="430"/>
        <v/>
      </c>
      <c r="AC960" s="310" t="e">
        <f t="shared" ca="1" si="431"/>
        <v>#N/A</v>
      </c>
      <c r="AD960" s="323" t="e">
        <f t="shared" ca="1" si="432"/>
        <v>#N/A</v>
      </c>
      <c r="AE960" s="324" t="e">
        <f t="shared" ca="1" si="411"/>
        <v>#N/A</v>
      </c>
      <c r="AG960" s="306">
        <f t="shared" ca="1" si="433"/>
        <v>1.7662844841930614</v>
      </c>
      <c r="AH960" s="304">
        <f t="shared" ca="1" si="434"/>
        <v>-8.0308432800384129</v>
      </c>
    </row>
    <row r="961" spans="1:34" x14ac:dyDescent="0.2">
      <c r="A961" s="347">
        <f t="shared" ca="1" si="412"/>
        <v>1E-4</v>
      </c>
      <c r="B961" s="304">
        <f t="shared" ca="1" si="413"/>
        <v>39.420300000000921</v>
      </c>
      <c r="D961" s="306">
        <f t="shared" ca="1" si="414"/>
        <v>-0.41126776281652944</v>
      </c>
      <c r="E961" s="307">
        <f t="shared" ca="1" si="415"/>
        <v>-1.7896623645013463</v>
      </c>
      <c r="F961" s="304">
        <f t="shared" ca="1" si="416"/>
        <v>1.8363094923363716</v>
      </c>
      <c r="G961" s="306">
        <f t="shared" ca="1" si="417"/>
        <v>6.8416506325366644</v>
      </c>
      <c r="H961" s="307">
        <f t="shared" ca="1" si="418"/>
        <v>-133.42342014591992</v>
      </c>
      <c r="I961" s="304">
        <f t="shared" ca="1" si="419"/>
        <v>133.59871716005495</v>
      </c>
      <c r="J961" s="306">
        <f t="shared" ca="1" si="420"/>
        <v>539.267207314762</v>
      </c>
      <c r="K961" s="307">
        <f t="shared" ca="1" si="421"/>
        <v>-12.088042187911974</v>
      </c>
      <c r="L961" s="304">
        <f t="shared" ca="1" si="406"/>
        <v>539.40267115486108</v>
      </c>
      <c r="M961" s="306">
        <f t="shared" ca="1" si="422"/>
        <v>-1.5195634654631591</v>
      </c>
      <c r="N961" s="304">
        <f t="shared" ca="1" si="423"/>
        <v>-87.064573273312448</v>
      </c>
      <c r="P961" s="310">
        <f t="shared" ca="1" si="424"/>
        <v>23</v>
      </c>
      <c r="Q961" s="304">
        <f t="shared" ca="1" si="425"/>
        <v>0</v>
      </c>
      <c r="R961" s="306">
        <f t="shared" ca="1" si="426"/>
        <v>0</v>
      </c>
      <c r="S961" s="307">
        <f t="shared" ca="1" si="427"/>
        <v>6.8519999999999914</v>
      </c>
      <c r="T961" s="304">
        <f t="shared" ca="1" si="407"/>
        <v>67.218119999999914</v>
      </c>
      <c r="U961" s="311">
        <f t="shared" ca="1" si="408"/>
        <v>0</v>
      </c>
      <c r="V961" s="306">
        <f t="shared" ca="1" si="409"/>
        <v>1.2264816806989591</v>
      </c>
      <c r="W961" s="304">
        <f t="shared" ca="1" si="410"/>
        <v>55.02777599551407</v>
      </c>
      <c r="Y961" s="314" t="str">
        <f t="shared" ca="1" si="428"/>
        <v/>
      </c>
      <c r="Z961" s="315" t="str">
        <f t="shared" ca="1" si="429"/>
        <v/>
      </c>
      <c r="AA961" s="316" t="str">
        <f t="shared" ca="1" si="430"/>
        <v/>
      </c>
      <c r="AC961" s="310" t="e">
        <f t="shared" ca="1" si="431"/>
        <v>#N/A</v>
      </c>
      <c r="AD961" s="323" t="e">
        <f t="shared" ca="1" si="432"/>
        <v>#N/A</v>
      </c>
      <c r="AE961" s="324" t="e">
        <f t="shared" ca="1" si="411"/>
        <v>#N/A</v>
      </c>
      <c r="AG961" s="306">
        <f t="shared" ca="1" si="433"/>
        <v>1.7662527231269731</v>
      </c>
      <c r="AH961" s="304">
        <f t="shared" ca="1" si="434"/>
        <v>-8.0308752300187223</v>
      </c>
    </row>
    <row r="962" spans="1:34" x14ac:dyDescent="0.2">
      <c r="A962" s="347">
        <f t="shared" ca="1" si="412"/>
        <v>1E-4</v>
      </c>
      <c r="B962" s="304">
        <f t="shared" ca="1" si="413"/>
        <v>39.420400000000924</v>
      </c>
      <c r="D962" s="306">
        <f t="shared" ca="1" si="414"/>
        <v>-0.41126638304634316</v>
      </c>
      <c r="E962" s="307">
        <f t="shared" ca="1" si="415"/>
        <v>-1.7896303020605941</v>
      </c>
      <c r="F962" s="304">
        <f t="shared" ca="1" si="416"/>
        <v>1.8362779353566046</v>
      </c>
      <c r="G962" s="306">
        <f t="shared" ca="1" si="417"/>
        <v>6.8416095058983597</v>
      </c>
      <c r="H962" s="307">
        <f t="shared" ca="1" si="418"/>
        <v>-133.42359910895013</v>
      </c>
      <c r="I962" s="304">
        <f t="shared" ca="1" si="419"/>
        <v>133.59889378216062</v>
      </c>
      <c r="J962" s="306">
        <f t="shared" ca="1" si="420"/>
        <v>539.267207314762</v>
      </c>
      <c r="K962" s="307">
        <f t="shared" ca="1" si="421"/>
        <v>-12.101384538874717</v>
      </c>
      <c r="L962" s="304">
        <f t="shared" ca="1" si="406"/>
        <v>539.4029703225782</v>
      </c>
      <c r="M962" s="306">
        <f t="shared" ca="1" si="422"/>
        <v>-1.5195638414951123</v>
      </c>
      <c r="N962" s="304">
        <f t="shared" ca="1" si="423"/>
        <v>-87.064594818356326</v>
      </c>
      <c r="P962" s="310">
        <f t="shared" ca="1" si="424"/>
        <v>23</v>
      </c>
      <c r="Q962" s="304">
        <f t="shared" ca="1" si="425"/>
        <v>0</v>
      </c>
      <c r="R962" s="306">
        <f t="shared" ca="1" si="426"/>
        <v>0</v>
      </c>
      <c r="S962" s="307">
        <f t="shared" ca="1" si="427"/>
        <v>6.8519999999999914</v>
      </c>
      <c r="T962" s="304">
        <f t="shared" ca="1" si="407"/>
        <v>67.218119999999914</v>
      </c>
      <c r="U962" s="311">
        <f t="shared" ca="1" si="408"/>
        <v>0</v>
      </c>
      <c r="V962" s="306">
        <f t="shared" ca="1" si="409"/>
        <v>1.2264833171155525</v>
      </c>
      <c r="W962" s="304">
        <f t="shared" ca="1" si="410"/>
        <v>55.027994913100621</v>
      </c>
      <c r="Y962" s="314" t="str">
        <f t="shared" ca="1" si="428"/>
        <v/>
      </c>
      <c r="Z962" s="315" t="str">
        <f t="shared" ca="1" si="429"/>
        <v/>
      </c>
      <c r="AA962" s="316" t="str">
        <f t="shared" ca="1" si="430"/>
        <v/>
      </c>
      <c r="AC962" s="310" t="e">
        <f t="shared" ca="1" si="431"/>
        <v>#N/A</v>
      </c>
      <c r="AD962" s="323" t="e">
        <f t="shared" ca="1" si="432"/>
        <v>#N/A</v>
      </c>
      <c r="AE962" s="324" t="e">
        <f t="shared" ca="1" si="411"/>
        <v>#N/A</v>
      </c>
      <c r="AG962" s="306">
        <f t="shared" ca="1" si="433"/>
        <v>1.7662209623262903</v>
      </c>
      <c r="AH962" s="304">
        <f t="shared" ca="1" si="434"/>
        <v>-8.03090717973061</v>
      </c>
    </row>
    <row r="963" spans="1:34" x14ac:dyDescent="0.2">
      <c r="A963" s="347">
        <f t="shared" ca="1" si="412"/>
        <v>1E-4</v>
      </c>
      <c r="B963" s="304">
        <f t="shared" ca="1" si="413"/>
        <v>39.420500000000928</v>
      </c>
      <c r="D963" s="306">
        <f t="shared" ca="1" si="414"/>
        <v>-0.41126500326445969</v>
      </c>
      <c r="E963" s="307">
        <f t="shared" ca="1" si="415"/>
        <v>-1.7895982398891661</v>
      </c>
      <c r="F963" s="304">
        <f t="shared" ca="1" si="416"/>
        <v>1.8362463786552494</v>
      </c>
      <c r="G963" s="306">
        <f t="shared" ca="1" si="417"/>
        <v>6.8415683793980335</v>
      </c>
      <c r="H963" s="307">
        <f t="shared" ca="1" si="418"/>
        <v>-133.42377806877411</v>
      </c>
      <c r="I963" s="304">
        <f t="shared" ca="1" si="419"/>
        <v>133.59907040109024</v>
      </c>
      <c r="J963" s="306">
        <f t="shared" ca="1" si="420"/>
        <v>539.267207314762</v>
      </c>
      <c r="K963" s="307">
        <f t="shared" ca="1" si="421"/>
        <v>-12.114726907733603</v>
      </c>
      <c r="L963" s="304">
        <f t="shared" ca="1" si="406"/>
        <v>539.40326982055967</v>
      </c>
      <c r="M963" s="306">
        <f t="shared" ca="1" si="422"/>
        <v>-1.5195642175238109</v>
      </c>
      <c r="N963" s="304">
        <f t="shared" ca="1" si="423"/>
        <v>-87.06461636321373</v>
      </c>
      <c r="P963" s="310">
        <f t="shared" ca="1" si="424"/>
        <v>23</v>
      </c>
      <c r="Q963" s="304">
        <f t="shared" ca="1" si="425"/>
        <v>0</v>
      </c>
      <c r="R963" s="306">
        <f t="shared" ca="1" si="426"/>
        <v>0</v>
      </c>
      <c r="S963" s="307">
        <f t="shared" ca="1" si="427"/>
        <v>6.8519999999999914</v>
      </c>
      <c r="T963" s="304">
        <f t="shared" ca="1" si="407"/>
        <v>67.218119999999914</v>
      </c>
      <c r="U963" s="311">
        <f t="shared" ca="1" si="408"/>
        <v>0</v>
      </c>
      <c r="V963" s="306">
        <f t="shared" ca="1" si="409"/>
        <v>1.2264849535365259</v>
      </c>
      <c r="W963" s="304">
        <f t="shared" ca="1" si="410"/>
        <v>55.028213828847917</v>
      </c>
      <c r="Y963" s="314" t="str">
        <f t="shared" ca="1" si="428"/>
        <v/>
      </c>
      <c r="Z963" s="315" t="str">
        <f t="shared" ca="1" si="429"/>
        <v/>
      </c>
      <c r="AA963" s="316" t="str">
        <f t="shared" ca="1" si="430"/>
        <v/>
      </c>
      <c r="AC963" s="310" t="e">
        <f t="shared" ca="1" si="431"/>
        <v>#N/A</v>
      </c>
      <c r="AD963" s="323" t="e">
        <f t="shared" ca="1" si="432"/>
        <v>#N/A</v>
      </c>
      <c r="AE963" s="324" t="e">
        <f t="shared" ca="1" si="411"/>
        <v>#N/A</v>
      </c>
      <c r="AG963" s="306">
        <f t="shared" ca="1" si="433"/>
        <v>1.7661892017910166</v>
      </c>
      <c r="AH963" s="304">
        <f t="shared" ca="1" si="434"/>
        <v>-8.0309391291740653</v>
      </c>
    </row>
    <row r="964" spans="1:34" x14ac:dyDescent="0.2">
      <c r="A964" s="347">
        <f t="shared" ca="1" si="412"/>
        <v>1E-4</v>
      </c>
      <c r="B964" s="304">
        <f t="shared" ca="1" si="413"/>
        <v>39.420600000000931</v>
      </c>
      <c r="D964" s="306">
        <f t="shared" ca="1" si="414"/>
        <v>-0.41126362347087803</v>
      </c>
      <c r="E964" s="307">
        <f t="shared" ca="1" si="415"/>
        <v>-1.7895661779870533</v>
      </c>
      <c r="F964" s="304">
        <f t="shared" ca="1" si="416"/>
        <v>1.8362148222322969</v>
      </c>
      <c r="G964" s="306">
        <f t="shared" ca="1" si="417"/>
        <v>6.8415272530356868</v>
      </c>
      <c r="H964" s="307">
        <f t="shared" ca="1" si="418"/>
        <v>-133.4239570253919</v>
      </c>
      <c r="I964" s="304">
        <f t="shared" ca="1" si="419"/>
        <v>133.5992470168438</v>
      </c>
      <c r="J964" s="306">
        <f t="shared" ca="1" si="420"/>
        <v>539.267207314762</v>
      </c>
      <c r="K964" s="307">
        <f t="shared" ca="1" si="421"/>
        <v>-12.128069294488311</v>
      </c>
      <c r="L964" s="304">
        <f t="shared" ref="L964:L1004" ca="1" si="435">SQRT(pos_x^2+pos_z^2)</f>
        <v>539.40356964880607</v>
      </c>
      <c r="M964" s="306">
        <f t="shared" ca="1" si="422"/>
        <v>-1.5195645935492548</v>
      </c>
      <c r="N964" s="304">
        <f t="shared" ca="1" si="423"/>
        <v>-87.064637907884659</v>
      </c>
      <c r="P964" s="310">
        <f t="shared" ca="1" si="424"/>
        <v>23</v>
      </c>
      <c r="Q964" s="304">
        <f t="shared" ca="1" si="425"/>
        <v>0</v>
      </c>
      <c r="R964" s="306">
        <f t="shared" ca="1" si="426"/>
        <v>0</v>
      </c>
      <c r="S964" s="307">
        <f t="shared" ca="1" si="427"/>
        <v>6.8519999999999914</v>
      </c>
      <c r="T964" s="304">
        <f t="shared" ref="T964:T1004" ca="1" si="436">m*g</f>
        <v>67.218119999999914</v>
      </c>
      <c r="U964" s="311">
        <f t="shared" ref="U964:U1004" ca="1" si="437">IF(pos_xz&lt;L_rampe,Poids*COS(Beta),0)</f>
        <v>0</v>
      </c>
      <c r="V964" s="306">
        <f t="shared" ref="V964:V1004" ca="1" si="438">Rho_moyen*(20000-Alt_rampe-pos_z)/(20000+Alt_rampe+pos_z)</f>
        <v>1.2264865899618784</v>
      </c>
      <c r="W964" s="304">
        <f t="shared" ref="W964:W1003" ca="1" si="439">1/2*Rho*Sref*Cx*vit_xz^2</f>
        <v>55.028432742755911</v>
      </c>
      <c r="Y964" s="314" t="str">
        <f t="shared" ca="1" si="428"/>
        <v/>
      </c>
      <c r="Z964" s="315" t="str">
        <f t="shared" ca="1" si="429"/>
        <v/>
      </c>
      <c r="AA964" s="316" t="str">
        <f t="shared" ca="1" si="430"/>
        <v/>
      </c>
      <c r="AC964" s="310" t="e">
        <f t="shared" ca="1" si="431"/>
        <v>#N/A</v>
      </c>
      <c r="AD964" s="323" t="e">
        <f t="shared" ca="1" si="432"/>
        <v>#N/A</v>
      </c>
      <c r="AE964" s="324" t="e">
        <f t="shared" ref="AE964:AE1004" ca="1" si="440">IF(t&lt;T_para, pos_z, NA())</f>
        <v>#N/A</v>
      </c>
      <c r="AG964" s="306">
        <f t="shared" ca="1" si="433"/>
        <v>1.7661574415211518</v>
      </c>
      <c r="AH964" s="304">
        <f t="shared" ca="1" si="434"/>
        <v>-8.0309710783490935</v>
      </c>
    </row>
    <row r="965" spans="1:34" x14ac:dyDescent="0.2">
      <c r="A965" s="347">
        <f t="shared" ref="A965:A1004" ca="1" si="441">IF(B964+0.01&lt;=T_ini+ROUNDUP(Temps_fin_propu,0), 0.01, IF(K964&gt;0, 0.1, 0.0001))</f>
        <v>1E-4</v>
      </c>
      <c r="B965" s="304">
        <f t="shared" ref="B965:B1004" ca="1" si="442">B964+pas</f>
        <v>39.420700000000934</v>
      </c>
      <c r="D965" s="306">
        <f t="shared" ref="D965:D1004" ca="1" si="443">IF(AND(L964&lt;L_rampe,Poussee&lt;Poids*SIN(M964)),0,(-W964+Poussee)/m*COS(M964)-U964/m*SIN(M964))</f>
        <v>-0.41126224366560038</v>
      </c>
      <c r="E965" s="307">
        <f t="shared" ref="E965:E1004" ca="1" si="444">IF(AND(L964&lt;L_rampe,Poussee&lt;Poids*SIN(M964)),0,(-W964+Poussee)/m*SIN(M964)+U964/m*COS(M964)-Poids/m)</f>
        <v>-1.7895341163542628</v>
      </c>
      <c r="F965" s="304">
        <f t="shared" ref="F965:F1004" ca="1" si="445">SQRT(acc_x^2+acc_z^2)</f>
        <v>1.8361832660877553</v>
      </c>
      <c r="G965" s="306">
        <f t="shared" ref="G965:G1004" ca="1" si="446">G964+acc_x*pas</f>
        <v>6.8414861268113203</v>
      </c>
      <c r="H965" s="307">
        <f t="shared" ref="H965:H1004" ca="1" si="447">H964+acc_z*pas</f>
        <v>-133.42413597880355</v>
      </c>
      <c r="I965" s="304">
        <f t="shared" ref="I965:I1004" ca="1" si="448">SQRT(vit_x^2+vit_z^2)</f>
        <v>133.59942362942144</v>
      </c>
      <c r="J965" s="306">
        <f t="shared" ref="J965:J1004" ca="1" si="449">J964+0.5*(vit_x+G964)*pas*(K964&gt;=0)</f>
        <v>539.267207314762</v>
      </c>
      <c r="K965" s="307">
        <f t="shared" ref="K965:K1004" ca="1" si="450">K964+0.5*(vit_z+H964)*pas</f>
        <v>-12.141411699138521</v>
      </c>
      <c r="L965" s="304">
        <f t="shared" ca="1" si="435"/>
        <v>539.4038698073183</v>
      </c>
      <c r="M965" s="306">
        <f t="shared" ref="M965:M1004" ca="1" si="451">IF(AND(L964&gt;L_rampe,G965&gt;0),ATAN2(G965,H965),$M$4)</f>
        <v>-1.5195649695714442</v>
      </c>
      <c r="N965" s="304">
        <f t="shared" ref="N965:N1004" ca="1" si="452">DEGREES(Beta)</f>
        <v>-87.064659452369114</v>
      </c>
      <c r="P965" s="310">
        <f t="shared" ref="P965:P1004" ca="1" si="453">MATCH(t-pas/2-T_ini,CdP_t)</f>
        <v>23</v>
      </c>
      <c r="Q965" s="304">
        <f t="shared" ref="Q965:Q1004" ca="1" si="454">(INDEX(CdP,2,i_P+1)-INDEX(CdP,2,i_P+0))/(INDEX(CdP,1,i_P+1)-INDEX(CdP,1,i_P+0))*(t-pas/2-T_ini-INDEX(CdP,1,i_P+0))+INDEX(CdP,2,i_P+0)</f>
        <v>0</v>
      </c>
      <c r="R965" s="306">
        <f t="shared" ref="R965:R1004" ca="1" si="455">Poussee/(g*ISP)</f>
        <v>0</v>
      </c>
      <c r="S965" s="307">
        <f t="shared" ref="S965:S1004" ca="1" si="456">S964-Débit*pas</f>
        <v>6.8519999999999914</v>
      </c>
      <c r="T965" s="304">
        <f t="shared" ca="1" si="436"/>
        <v>67.218119999999914</v>
      </c>
      <c r="U965" s="311">
        <f t="shared" ca="1" si="437"/>
        <v>0</v>
      </c>
      <c r="V965" s="306">
        <f t="shared" ca="1" si="438"/>
        <v>1.2264882263916108</v>
      </c>
      <c r="W965" s="304">
        <f t="shared" ca="1" si="439"/>
        <v>55.028651654824721</v>
      </c>
      <c r="Y965" s="314" t="str">
        <f t="shared" ref="Y965:Y1003" ca="1" si="457">IF(AND(pos_z&lt;=0,K964&gt;0),"Impact balistique","") &amp; IF(AND(H966&lt;0,vit_z&gt;=0),"Apogée","") &amp; IF(AND(Poussee=0,Q964&gt;0),"Fin de propulsion","") &amp; IF(AND(L966&gt;L_rampe,pos_xz&lt;=L_rampe),"Sortie de rampe","")</f>
        <v/>
      </c>
      <c r="Z965" s="315" t="str">
        <f t="shared" ref="Z965:Z1004" ca="1" si="458">IF(ABS(t-T_para)&lt;pas/2,"Para","")</f>
        <v/>
      </c>
      <c r="AA965" s="316" t="str">
        <f t="shared" ref="AA965:AA1004" ca="1" si="459">IF(ABS(t-T_satellite)&lt;pas/2,"Satellite","")</f>
        <v/>
      </c>
      <c r="AC965" s="310" t="e">
        <f t="shared" ref="AC965:AC1004" ca="1" si="460">IF(ABS(t-ROUND(t,0))&lt;0.001,t,NA())</f>
        <v>#N/A</v>
      </c>
      <c r="AD965" s="323" t="e">
        <f t="shared" ref="AD965:AD1004" ca="1" si="461">IF(ABS(t-ROUND(t,0))&lt;0.001,pos_x,NA())</f>
        <v>#N/A</v>
      </c>
      <c r="AE965" s="324" t="e">
        <f t="shared" ca="1" si="440"/>
        <v>#N/A</v>
      </c>
      <c r="AG965" s="306">
        <f t="shared" ref="AG965:AG1004" ca="1" si="462">IF(AND(L964&lt;L_rampe,Poussee&lt;Poids*SIN(M964)),0,(-W964+Poussee)/m-Poids*SIN(M964)/m)</f>
        <v>1.7661256815166997</v>
      </c>
      <c r="AH965" s="304">
        <f t="shared" ref="AH965:AH1004" ca="1" si="463">IF(AND(L964&lt;L_rampe,Poussee&lt;Poids*SIN(M964)), g*SIN(M964), (-W964+Poussee)/m)</f>
        <v>-8.0310030272556894</v>
      </c>
    </row>
    <row r="966" spans="1:34" x14ac:dyDescent="0.2">
      <c r="A966" s="347">
        <f t="shared" ca="1" si="441"/>
        <v>1E-4</v>
      </c>
      <c r="B966" s="304">
        <f t="shared" ca="1" si="442"/>
        <v>39.420800000000938</v>
      </c>
      <c r="D966" s="306">
        <f t="shared" ca="1" si="443"/>
        <v>-0.41126086384862626</v>
      </c>
      <c r="E966" s="307">
        <f t="shared" ca="1" si="444"/>
        <v>-1.7895020549907805</v>
      </c>
      <c r="F966" s="304">
        <f t="shared" ca="1" si="445"/>
        <v>1.8361517102216103</v>
      </c>
      <c r="G966" s="306">
        <f t="shared" ca="1" si="446"/>
        <v>6.841445000724935</v>
      </c>
      <c r="H966" s="307">
        <f t="shared" ca="1" si="447"/>
        <v>-133.42431492900906</v>
      </c>
      <c r="I966" s="304">
        <f t="shared" ca="1" si="448"/>
        <v>133.59960023882306</v>
      </c>
      <c r="J966" s="306">
        <f t="shared" ca="1" si="449"/>
        <v>539.267207314762</v>
      </c>
      <c r="K966" s="307">
        <f t="shared" ca="1" si="450"/>
        <v>-12.154754121683911</v>
      </c>
      <c r="L966" s="304">
        <f t="shared" ca="1" si="435"/>
        <v>539.40417029609728</v>
      </c>
      <c r="M966" s="306">
        <f t="shared" ca="1" si="451"/>
        <v>-1.519565345590379</v>
      </c>
      <c r="N966" s="304">
        <f t="shared" ca="1" si="452"/>
        <v>-87.064680996667093</v>
      </c>
      <c r="P966" s="310">
        <f t="shared" ca="1" si="453"/>
        <v>23</v>
      </c>
      <c r="Q966" s="304">
        <f t="shared" ca="1" si="454"/>
        <v>0</v>
      </c>
      <c r="R966" s="306">
        <f t="shared" ca="1" si="455"/>
        <v>0</v>
      </c>
      <c r="S966" s="307">
        <f t="shared" ca="1" si="456"/>
        <v>6.8519999999999914</v>
      </c>
      <c r="T966" s="304">
        <f t="shared" ca="1" si="436"/>
        <v>67.218119999999914</v>
      </c>
      <c r="U966" s="311">
        <f t="shared" ca="1" si="437"/>
        <v>0</v>
      </c>
      <c r="V966" s="306">
        <f t="shared" ca="1" si="438"/>
        <v>1.2264898628257224</v>
      </c>
      <c r="W966" s="304">
        <f t="shared" ca="1" si="439"/>
        <v>55.028870565054198</v>
      </c>
      <c r="Y966" s="314" t="str">
        <f t="shared" ca="1" si="457"/>
        <v/>
      </c>
      <c r="Z966" s="315" t="str">
        <f t="shared" ca="1" si="458"/>
        <v/>
      </c>
      <c r="AA966" s="316" t="str">
        <f t="shared" ca="1" si="459"/>
        <v/>
      </c>
      <c r="AC966" s="310" t="e">
        <f t="shared" ca="1" si="460"/>
        <v>#N/A</v>
      </c>
      <c r="AD966" s="323" t="e">
        <f t="shared" ca="1" si="461"/>
        <v>#N/A</v>
      </c>
      <c r="AE966" s="324" t="e">
        <f t="shared" ca="1" si="440"/>
        <v>#N/A</v>
      </c>
      <c r="AG966" s="306">
        <f t="shared" ca="1" si="462"/>
        <v>1.7660939217776424</v>
      </c>
      <c r="AH966" s="304">
        <f t="shared" ca="1" si="463"/>
        <v>-8.0310349758938688</v>
      </c>
    </row>
    <row r="967" spans="1:34" x14ac:dyDescent="0.2">
      <c r="A967" s="347">
        <f t="shared" ca="1" si="441"/>
        <v>1E-4</v>
      </c>
      <c r="B967" s="304">
        <f t="shared" ca="1" si="442"/>
        <v>39.420900000000941</v>
      </c>
      <c r="D967" s="306">
        <f t="shared" ca="1" si="443"/>
        <v>-0.41125948401995549</v>
      </c>
      <c r="E967" s="307">
        <f t="shared" ca="1" si="444"/>
        <v>-1.7894699938966241</v>
      </c>
      <c r="F967" s="304">
        <f t="shared" ca="1" si="445"/>
        <v>1.8361201546338801</v>
      </c>
      <c r="G967" s="306">
        <f t="shared" ca="1" si="446"/>
        <v>6.8414038747765327</v>
      </c>
      <c r="H967" s="307">
        <f t="shared" ca="1" si="447"/>
        <v>-133.42449387600846</v>
      </c>
      <c r="I967" s="304">
        <f t="shared" ca="1" si="448"/>
        <v>133.59977684504875</v>
      </c>
      <c r="J967" s="306">
        <f t="shared" ca="1" si="449"/>
        <v>539.267207314762</v>
      </c>
      <c r="K967" s="307">
        <f t="shared" ca="1" si="450"/>
        <v>-12.168096562124163</v>
      </c>
      <c r="L967" s="304">
        <f t="shared" ca="1" si="435"/>
        <v>539.40447111514345</v>
      </c>
      <c r="M967" s="306">
        <f t="shared" ca="1" si="451"/>
        <v>-1.5195657216060594</v>
      </c>
      <c r="N967" s="304">
        <f t="shared" ca="1" si="452"/>
        <v>-87.064702540778612</v>
      </c>
      <c r="P967" s="310">
        <f t="shared" ca="1" si="453"/>
        <v>23</v>
      </c>
      <c r="Q967" s="304">
        <f t="shared" ca="1" si="454"/>
        <v>0</v>
      </c>
      <c r="R967" s="306">
        <f t="shared" ca="1" si="455"/>
        <v>0</v>
      </c>
      <c r="S967" s="307">
        <f t="shared" ca="1" si="456"/>
        <v>6.8519999999999914</v>
      </c>
      <c r="T967" s="304">
        <f t="shared" ca="1" si="436"/>
        <v>67.218119999999914</v>
      </c>
      <c r="U967" s="311">
        <f t="shared" ca="1" si="437"/>
        <v>0</v>
      </c>
      <c r="V967" s="306">
        <f t="shared" ca="1" si="438"/>
        <v>1.2264914992642137</v>
      </c>
      <c r="W967" s="304">
        <f t="shared" ca="1" si="439"/>
        <v>55.029089473444465</v>
      </c>
      <c r="Y967" s="314" t="str">
        <f t="shared" ca="1" si="457"/>
        <v/>
      </c>
      <c r="Z967" s="315" t="str">
        <f t="shared" ca="1" si="458"/>
        <v/>
      </c>
      <c r="AA967" s="316" t="str">
        <f t="shared" ca="1" si="459"/>
        <v/>
      </c>
      <c r="AC967" s="310" t="e">
        <f t="shared" ca="1" si="460"/>
        <v>#N/A</v>
      </c>
      <c r="AD967" s="323" t="e">
        <f t="shared" ca="1" si="461"/>
        <v>#N/A</v>
      </c>
      <c r="AE967" s="324" t="e">
        <f t="shared" ca="1" si="440"/>
        <v>#N/A</v>
      </c>
      <c r="AG967" s="306">
        <f t="shared" ca="1" si="462"/>
        <v>1.7660621623040011</v>
      </c>
      <c r="AH967" s="304">
        <f t="shared" ca="1" si="463"/>
        <v>-8.0310669242636123</v>
      </c>
    </row>
    <row r="968" spans="1:34" x14ac:dyDescent="0.2">
      <c r="A968" s="347">
        <f t="shared" ca="1" si="441"/>
        <v>1E-4</v>
      </c>
      <c r="B968" s="304">
        <f t="shared" ca="1" si="442"/>
        <v>39.421000000000944</v>
      </c>
      <c r="D968" s="306">
        <f t="shared" ca="1" si="443"/>
        <v>-0.41125810417958925</v>
      </c>
      <c r="E968" s="307">
        <f t="shared" ca="1" si="444"/>
        <v>-1.7894379330717776</v>
      </c>
      <c r="F968" s="304">
        <f t="shared" ca="1" si="445"/>
        <v>1.8360885993245493</v>
      </c>
      <c r="G968" s="306">
        <f t="shared" ca="1" si="446"/>
        <v>6.8413627489661151</v>
      </c>
      <c r="H968" s="307">
        <f t="shared" ca="1" si="447"/>
        <v>-133.42467281980177</v>
      </c>
      <c r="I968" s="304">
        <f t="shared" ca="1" si="448"/>
        <v>133.59995344809852</v>
      </c>
      <c r="J968" s="306">
        <f t="shared" ca="1" si="449"/>
        <v>539.267207314762</v>
      </c>
      <c r="K968" s="307">
        <f t="shared" ca="1" si="450"/>
        <v>-12.181439020458953</v>
      </c>
      <c r="L968" s="304">
        <f t="shared" ca="1" si="435"/>
        <v>539.40477226445785</v>
      </c>
      <c r="M968" s="306">
        <f t="shared" ca="1" si="451"/>
        <v>-1.5195660976184853</v>
      </c>
      <c r="N968" s="304">
        <f t="shared" ca="1" si="452"/>
        <v>-87.064724084703656</v>
      </c>
      <c r="P968" s="310">
        <f t="shared" ca="1" si="453"/>
        <v>23</v>
      </c>
      <c r="Q968" s="304">
        <f t="shared" ca="1" si="454"/>
        <v>0</v>
      </c>
      <c r="R968" s="306">
        <f t="shared" ca="1" si="455"/>
        <v>0</v>
      </c>
      <c r="S968" s="307">
        <f t="shared" ca="1" si="456"/>
        <v>6.8519999999999914</v>
      </c>
      <c r="T968" s="304">
        <f t="shared" ca="1" si="436"/>
        <v>67.218119999999914</v>
      </c>
      <c r="U968" s="311">
        <f t="shared" ca="1" si="437"/>
        <v>0</v>
      </c>
      <c r="V968" s="306">
        <f t="shared" ca="1" si="438"/>
        <v>1.2264931357070847</v>
      </c>
      <c r="W968" s="304">
        <f t="shared" ca="1" si="439"/>
        <v>55.02930837999547</v>
      </c>
      <c r="Y968" s="314" t="str">
        <f t="shared" ca="1" si="457"/>
        <v/>
      </c>
      <c r="Z968" s="315" t="str">
        <f t="shared" ca="1" si="458"/>
        <v/>
      </c>
      <c r="AA968" s="316" t="str">
        <f t="shared" ca="1" si="459"/>
        <v/>
      </c>
      <c r="AC968" s="310" t="e">
        <f t="shared" ca="1" si="460"/>
        <v>#N/A</v>
      </c>
      <c r="AD968" s="323" t="e">
        <f t="shared" ca="1" si="461"/>
        <v>#N/A</v>
      </c>
      <c r="AE968" s="324" t="e">
        <f t="shared" ca="1" si="440"/>
        <v>#N/A</v>
      </c>
      <c r="AG968" s="306">
        <f t="shared" ca="1" si="462"/>
        <v>1.7660304030957601</v>
      </c>
      <c r="AH968" s="304">
        <f t="shared" ca="1" si="463"/>
        <v>-8.0310988723649341</v>
      </c>
    </row>
    <row r="969" spans="1:34" x14ac:dyDescent="0.2">
      <c r="A969" s="347">
        <f t="shared" ca="1" si="441"/>
        <v>1E-4</v>
      </c>
      <c r="B969" s="304">
        <f t="shared" ca="1" si="442"/>
        <v>39.421100000000948</v>
      </c>
      <c r="D969" s="306">
        <f t="shared" ca="1" si="443"/>
        <v>-0.41125672432752802</v>
      </c>
      <c r="E969" s="307">
        <f t="shared" ca="1" si="444"/>
        <v>-1.7894058725162481</v>
      </c>
      <c r="F969" s="304">
        <f t="shared" ca="1" si="445"/>
        <v>1.8360570442936253</v>
      </c>
      <c r="G969" s="306">
        <f t="shared" ca="1" si="446"/>
        <v>6.8413216232936822</v>
      </c>
      <c r="H969" s="307">
        <f t="shared" ca="1" si="447"/>
        <v>-133.42485176038903</v>
      </c>
      <c r="I969" s="304">
        <f t="shared" ca="1" si="448"/>
        <v>133.60013004797239</v>
      </c>
      <c r="J969" s="306">
        <f t="shared" ca="1" si="449"/>
        <v>539.267207314762</v>
      </c>
      <c r="K969" s="307">
        <f t="shared" ca="1" si="450"/>
        <v>-12.194781496687963</v>
      </c>
      <c r="L969" s="304">
        <f t="shared" ca="1" si="435"/>
        <v>539.40507374404115</v>
      </c>
      <c r="M969" s="306">
        <f t="shared" ca="1" si="451"/>
        <v>-1.5195664736276568</v>
      </c>
      <c r="N969" s="304">
        <f t="shared" ca="1" si="452"/>
        <v>-87.064745628442253</v>
      </c>
      <c r="P969" s="310">
        <f t="shared" ca="1" si="453"/>
        <v>23</v>
      </c>
      <c r="Q969" s="304">
        <f t="shared" ca="1" si="454"/>
        <v>0</v>
      </c>
      <c r="R969" s="306">
        <f t="shared" ca="1" si="455"/>
        <v>0</v>
      </c>
      <c r="S969" s="307">
        <f t="shared" ca="1" si="456"/>
        <v>6.8519999999999914</v>
      </c>
      <c r="T969" s="304">
        <f t="shared" ca="1" si="436"/>
        <v>67.218119999999914</v>
      </c>
      <c r="U969" s="311">
        <f t="shared" ca="1" si="437"/>
        <v>0</v>
      </c>
      <c r="V969" s="306">
        <f t="shared" ca="1" si="438"/>
        <v>1.2264947721543349</v>
      </c>
      <c r="W969" s="304">
        <f t="shared" ca="1" si="439"/>
        <v>55.029527284707214</v>
      </c>
      <c r="Y969" s="314" t="str">
        <f t="shared" ca="1" si="457"/>
        <v/>
      </c>
      <c r="Z969" s="315" t="str">
        <f t="shared" ca="1" si="458"/>
        <v/>
      </c>
      <c r="AA969" s="316" t="str">
        <f t="shared" ca="1" si="459"/>
        <v/>
      </c>
      <c r="AC969" s="310" t="e">
        <f t="shared" ca="1" si="460"/>
        <v>#N/A</v>
      </c>
      <c r="AD969" s="323" t="e">
        <f t="shared" ca="1" si="461"/>
        <v>#N/A</v>
      </c>
      <c r="AE969" s="324" t="e">
        <f t="shared" ca="1" si="440"/>
        <v>#N/A</v>
      </c>
      <c r="AG969" s="306">
        <f t="shared" ca="1" si="462"/>
        <v>1.7659986441529245</v>
      </c>
      <c r="AH969" s="304">
        <f t="shared" ca="1" si="463"/>
        <v>-8.0311308201978306</v>
      </c>
    </row>
    <row r="970" spans="1:34" x14ac:dyDescent="0.2">
      <c r="A970" s="347">
        <f t="shared" ca="1" si="441"/>
        <v>1E-4</v>
      </c>
      <c r="B970" s="304">
        <f t="shared" ca="1" si="442"/>
        <v>39.421200000000951</v>
      </c>
      <c r="D970" s="306">
        <f t="shared" ca="1" si="443"/>
        <v>-0.41125534446377054</v>
      </c>
      <c r="E970" s="307">
        <f t="shared" ca="1" si="444"/>
        <v>-1.7893738122300338</v>
      </c>
      <c r="F970" s="304">
        <f t="shared" ca="1" si="445"/>
        <v>1.8360254895411061</v>
      </c>
      <c r="G970" s="306">
        <f t="shared" ca="1" si="446"/>
        <v>6.8412804977592359</v>
      </c>
      <c r="H970" s="307">
        <f t="shared" ca="1" si="447"/>
        <v>-133.42503069777027</v>
      </c>
      <c r="I970" s="304">
        <f t="shared" ca="1" si="448"/>
        <v>133.60030664467038</v>
      </c>
      <c r="J970" s="306">
        <f t="shared" ca="1" si="449"/>
        <v>539.267207314762</v>
      </c>
      <c r="K970" s="307">
        <f t="shared" ca="1" si="450"/>
        <v>-12.20812399081087</v>
      </c>
      <c r="L970" s="304">
        <f t="shared" ca="1" si="435"/>
        <v>539.40537555389415</v>
      </c>
      <c r="M970" s="306">
        <f t="shared" ca="1" si="451"/>
        <v>-1.5195668496335741</v>
      </c>
      <c r="N970" s="304">
        <f t="shared" ca="1" si="452"/>
        <v>-87.06476717199439</v>
      </c>
      <c r="P970" s="310">
        <f t="shared" ca="1" si="453"/>
        <v>23</v>
      </c>
      <c r="Q970" s="304">
        <f t="shared" ca="1" si="454"/>
        <v>0</v>
      </c>
      <c r="R970" s="306">
        <f t="shared" ca="1" si="455"/>
        <v>0</v>
      </c>
      <c r="S970" s="307">
        <f t="shared" ca="1" si="456"/>
        <v>6.8519999999999914</v>
      </c>
      <c r="T970" s="304">
        <f t="shared" ca="1" si="436"/>
        <v>67.218119999999914</v>
      </c>
      <c r="U970" s="311">
        <f t="shared" ca="1" si="437"/>
        <v>0</v>
      </c>
      <c r="V970" s="306">
        <f t="shared" ca="1" si="438"/>
        <v>1.2264964086059646</v>
      </c>
      <c r="W970" s="304">
        <f t="shared" ca="1" si="439"/>
        <v>55.029746187579704</v>
      </c>
      <c r="Y970" s="314" t="str">
        <f t="shared" ca="1" si="457"/>
        <v/>
      </c>
      <c r="Z970" s="315" t="str">
        <f t="shared" ca="1" si="458"/>
        <v/>
      </c>
      <c r="AA970" s="316" t="str">
        <f t="shared" ca="1" si="459"/>
        <v/>
      </c>
      <c r="AC970" s="310" t="e">
        <f t="shared" ca="1" si="460"/>
        <v>#N/A</v>
      </c>
      <c r="AD970" s="323" t="e">
        <f t="shared" ca="1" si="461"/>
        <v>#N/A</v>
      </c>
      <c r="AE970" s="324" t="e">
        <f t="shared" ca="1" si="440"/>
        <v>#N/A</v>
      </c>
      <c r="AG970" s="306">
        <f t="shared" ca="1" si="462"/>
        <v>1.765966885475498</v>
      </c>
      <c r="AH970" s="304">
        <f t="shared" ca="1" si="463"/>
        <v>-8.0311627677623001</v>
      </c>
    </row>
    <row r="971" spans="1:34" x14ac:dyDescent="0.2">
      <c r="A971" s="347">
        <f t="shared" ca="1" si="441"/>
        <v>1E-4</v>
      </c>
      <c r="B971" s="304">
        <f t="shared" ca="1" si="442"/>
        <v>39.421300000000954</v>
      </c>
      <c r="D971" s="306">
        <f t="shared" ca="1" si="443"/>
        <v>-0.41125396458831753</v>
      </c>
      <c r="E971" s="307">
        <f t="shared" ca="1" si="444"/>
        <v>-1.7893417522131347</v>
      </c>
      <c r="F971" s="304">
        <f t="shared" ca="1" si="445"/>
        <v>1.8359939350669927</v>
      </c>
      <c r="G971" s="306">
        <f t="shared" ca="1" si="446"/>
        <v>6.8412393723627769</v>
      </c>
      <c r="H971" s="307">
        <f t="shared" ca="1" si="447"/>
        <v>-133.42520963194548</v>
      </c>
      <c r="I971" s="304">
        <f t="shared" ca="1" si="448"/>
        <v>133.60048323819254</v>
      </c>
      <c r="J971" s="306">
        <f t="shared" ca="1" si="449"/>
        <v>539.267207314762</v>
      </c>
      <c r="K971" s="307">
        <f t="shared" ca="1" si="450"/>
        <v>-12.221466502827356</v>
      </c>
      <c r="L971" s="304">
        <f t="shared" ca="1" si="435"/>
        <v>539.40567769401741</v>
      </c>
      <c r="M971" s="306">
        <f t="shared" ca="1" si="451"/>
        <v>-1.5195672256362369</v>
      </c>
      <c r="N971" s="304">
        <f t="shared" ca="1" si="452"/>
        <v>-87.064788715360052</v>
      </c>
      <c r="P971" s="310">
        <f t="shared" ca="1" si="453"/>
        <v>23</v>
      </c>
      <c r="Q971" s="304">
        <f t="shared" ca="1" si="454"/>
        <v>0</v>
      </c>
      <c r="R971" s="306">
        <f t="shared" ca="1" si="455"/>
        <v>0</v>
      </c>
      <c r="S971" s="307">
        <f t="shared" ca="1" si="456"/>
        <v>6.8519999999999914</v>
      </c>
      <c r="T971" s="304">
        <f t="shared" ca="1" si="436"/>
        <v>67.218119999999914</v>
      </c>
      <c r="U971" s="311">
        <f t="shared" ca="1" si="437"/>
        <v>0</v>
      </c>
      <c r="V971" s="306">
        <f t="shared" ca="1" si="438"/>
        <v>1.2264980450619736</v>
      </c>
      <c r="W971" s="304">
        <f t="shared" ca="1" si="439"/>
        <v>55.029965088612933</v>
      </c>
      <c r="Y971" s="314" t="str">
        <f t="shared" ca="1" si="457"/>
        <v/>
      </c>
      <c r="Z971" s="315" t="str">
        <f t="shared" ca="1" si="458"/>
        <v/>
      </c>
      <c r="AA971" s="316" t="str">
        <f t="shared" ca="1" si="459"/>
        <v/>
      </c>
      <c r="AC971" s="310" t="e">
        <f t="shared" ca="1" si="460"/>
        <v>#N/A</v>
      </c>
      <c r="AD971" s="323" t="e">
        <f t="shared" ca="1" si="461"/>
        <v>#N/A</v>
      </c>
      <c r="AE971" s="324" t="e">
        <f t="shared" ca="1" si="440"/>
        <v>#N/A</v>
      </c>
      <c r="AG971" s="306">
        <f t="shared" ca="1" si="462"/>
        <v>1.7659351270634751</v>
      </c>
      <c r="AH971" s="304">
        <f t="shared" ca="1" si="463"/>
        <v>-8.0311947150583443</v>
      </c>
    </row>
    <row r="972" spans="1:34" x14ac:dyDescent="0.2">
      <c r="A972" s="347">
        <f t="shared" ca="1" si="441"/>
        <v>1E-4</v>
      </c>
      <c r="B972" s="304">
        <f t="shared" ca="1" si="442"/>
        <v>39.421400000000958</v>
      </c>
      <c r="D972" s="306">
        <f t="shared" ca="1" si="443"/>
        <v>-0.41125258470117132</v>
      </c>
      <c r="E972" s="307">
        <f t="shared" ca="1" si="444"/>
        <v>-1.7893096924655545</v>
      </c>
      <c r="F972" s="304">
        <f t="shared" ca="1" si="445"/>
        <v>1.8359623808712888</v>
      </c>
      <c r="G972" s="306">
        <f t="shared" ca="1" si="446"/>
        <v>6.8411982471043071</v>
      </c>
      <c r="H972" s="307">
        <f t="shared" ca="1" si="447"/>
        <v>-133.42538856291472</v>
      </c>
      <c r="I972" s="304">
        <f t="shared" ca="1" si="448"/>
        <v>133.60065982853885</v>
      </c>
      <c r="J972" s="306">
        <f t="shared" ca="1" si="449"/>
        <v>539.267207314762</v>
      </c>
      <c r="K972" s="307">
        <f t="shared" ca="1" si="450"/>
        <v>-12.234809032737099</v>
      </c>
      <c r="L972" s="304">
        <f t="shared" ca="1" si="435"/>
        <v>539.40598016441197</v>
      </c>
      <c r="M972" s="306">
        <f t="shared" ca="1" si="451"/>
        <v>-1.5195676016356456</v>
      </c>
      <c r="N972" s="304">
        <f t="shared" ca="1" si="452"/>
        <v>-87.064810258539268</v>
      </c>
      <c r="P972" s="310">
        <f t="shared" ca="1" si="453"/>
        <v>23</v>
      </c>
      <c r="Q972" s="304">
        <f t="shared" ca="1" si="454"/>
        <v>0</v>
      </c>
      <c r="R972" s="306">
        <f t="shared" ca="1" si="455"/>
        <v>0</v>
      </c>
      <c r="S972" s="307">
        <f t="shared" ca="1" si="456"/>
        <v>6.8519999999999914</v>
      </c>
      <c r="T972" s="304">
        <f t="shared" ca="1" si="436"/>
        <v>67.218119999999914</v>
      </c>
      <c r="U972" s="311">
        <f t="shared" ca="1" si="437"/>
        <v>0</v>
      </c>
      <c r="V972" s="306">
        <f t="shared" ca="1" si="438"/>
        <v>1.2264996815223621</v>
      </c>
      <c r="W972" s="304">
        <f t="shared" ca="1" si="439"/>
        <v>55.030183987806907</v>
      </c>
      <c r="Y972" s="314" t="str">
        <f t="shared" ca="1" si="457"/>
        <v/>
      </c>
      <c r="Z972" s="315" t="str">
        <f t="shared" ca="1" si="458"/>
        <v/>
      </c>
      <c r="AA972" s="316" t="str">
        <f t="shared" ca="1" si="459"/>
        <v/>
      </c>
      <c r="AC972" s="310" t="e">
        <f t="shared" ca="1" si="460"/>
        <v>#N/A</v>
      </c>
      <c r="AD972" s="323" t="e">
        <f t="shared" ca="1" si="461"/>
        <v>#N/A</v>
      </c>
      <c r="AE972" s="324" t="e">
        <f t="shared" ca="1" si="440"/>
        <v>#N/A</v>
      </c>
      <c r="AG972" s="306">
        <f t="shared" ca="1" si="462"/>
        <v>1.7659033689168595</v>
      </c>
      <c r="AH972" s="304">
        <f t="shared" ca="1" si="463"/>
        <v>-8.0312266620859614</v>
      </c>
    </row>
    <row r="973" spans="1:34" x14ac:dyDescent="0.2">
      <c r="A973" s="347">
        <f t="shared" ca="1" si="441"/>
        <v>1E-4</v>
      </c>
      <c r="B973" s="304">
        <f t="shared" ca="1" si="442"/>
        <v>39.421500000000961</v>
      </c>
      <c r="D973" s="306">
        <f t="shared" ca="1" si="443"/>
        <v>-0.41125120480232891</v>
      </c>
      <c r="E973" s="307">
        <f t="shared" ca="1" si="444"/>
        <v>-1.7892776329872895</v>
      </c>
      <c r="F973" s="304">
        <f t="shared" ca="1" si="445"/>
        <v>1.8359308269539907</v>
      </c>
      <c r="G973" s="306">
        <f t="shared" ca="1" si="446"/>
        <v>6.8411571219838265</v>
      </c>
      <c r="H973" s="307">
        <f t="shared" ca="1" si="447"/>
        <v>-133.42556749067802</v>
      </c>
      <c r="I973" s="304">
        <f t="shared" ca="1" si="448"/>
        <v>133.60083641570941</v>
      </c>
      <c r="J973" s="306">
        <f t="shared" ca="1" si="449"/>
        <v>539.267207314762</v>
      </c>
      <c r="K973" s="307">
        <f t="shared" ca="1" si="450"/>
        <v>-12.248151580539778</v>
      </c>
      <c r="L973" s="304">
        <f t="shared" ca="1" si="435"/>
        <v>539.4062829650785</v>
      </c>
      <c r="M973" s="306">
        <f t="shared" ca="1" si="451"/>
        <v>-1.5195679776317998</v>
      </c>
      <c r="N973" s="304">
        <f t="shared" ca="1" si="452"/>
        <v>-87.064831801532009</v>
      </c>
      <c r="P973" s="310">
        <f t="shared" ca="1" si="453"/>
        <v>23</v>
      </c>
      <c r="Q973" s="304">
        <f t="shared" ca="1" si="454"/>
        <v>0</v>
      </c>
      <c r="R973" s="306">
        <f t="shared" ca="1" si="455"/>
        <v>0</v>
      </c>
      <c r="S973" s="307">
        <f t="shared" ca="1" si="456"/>
        <v>6.8519999999999914</v>
      </c>
      <c r="T973" s="304">
        <f t="shared" ca="1" si="436"/>
        <v>67.218119999999914</v>
      </c>
      <c r="U973" s="311">
        <f t="shared" ca="1" si="437"/>
        <v>0</v>
      </c>
      <c r="V973" s="306">
        <f t="shared" ca="1" si="438"/>
        <v>1.2265013179871302</v>
      </c>
      <c r="W973" s="304">
        <f t="shared" ca="1" si="439"/>
        <v>55.030402885161664</v>
      </c>
      <c r="Y973" s="314" t="str">
        <f t="shared" ca="1" si="457"/>
        <v/>
      </c>
      <c r="Z973" s="315" t="str">
        <f t="shared" ca="1" si="458"/>
        <v/>
      </c>
      <c r="AA973" s="316" t="str">
        <f t="shared" ca="1" si="459"/>
        <v/>
      </c>
      <c r="AC973" s="310" t="e">
        <f t="shared" ca="1" si="460"/>
        <v>#N/A</v>
      </c>
      <c r="AD973" s="323" t="e">
        <f t="shared" ca="1" si="461"/>
        <v>#N/A</v>
      </c>
      <c r="AE973" s="324" t="e">
        <f t="shared" ca="1" si="440"/>
        <v>#N/A</v>
      </c>
      <c r="AG973" s="306">
        <f t="shared" ca="1" si="462"/>
        <v>1.7658716110356512</v>
      </c>
      <c r="AH973" s="304">
        <f t="shared" ca="1" si="463"/>
        <v>-8.0312586088451514</v>
      </c>
    </row>
    <row r="974" spans="1:34" x14ac:dyDescent="0.2">
      <c r="A974" s="347">
        <f t="shared" ca="1" si="441"/>
        <v>1E-4</v>
      </c>
      <c r="B974" s="304">
        <f t="shared" ca="1" si="442"/>
        <v>39.421600000000964</v>
      </c>
      <c r="D974" s="306">
        <f t="shared" ca="1" si="443"/>
        <v>-0.41124982489179485</v>
      </c>
      <c r="E974" s="307">
        <f t="shared" ca="1" si="444"/>
        <v>-1.7892455737783344</v>
      </c>
      <c r="F974" s="304">
        <f t="shared" ca="1" si="445"/>
        <v>1.8358992733150947</v>
      </c>
      <c r="G974" s="306">
        <f t="shared" ca="1" si="446"/>
        <v>6.8411159970013378</v>
      </c>
      <c r="H974" s="307">
        <f t="shared" ca="1" si="447"/>
        <v>-133.42574641523541</v>
      </c>
      <c r="I974" s="304">
        <f t="shared" ca="1" si="448"/>
        <v>133.60101299970421</v>
      </c>
      <c r="J974" s="306">
        <f t="shared" ca="1" si="449"/>
        <v>539.267207314762</v>
      </c>
      <c r="K974" s="307">
        <f t="shared" ca="1" si="450"/>
        <v>-12.261494146235073</v>
      </c>
      <c r="L974" s="304">
        <f t="shared" ca="1" si="435"/>
        <v>539.4065860960178</v>
      </c>
      <c r="M974" s="306">
        <f t="shared" ca="1" si="451"/>
        <v>-1.5195683536247</v>
      </c>
      <c r="N974" s="304">
        <f t="shared" ca="1" si="452"/>
        <v>-87.064853344338317</v>
      </c>
      <c r="P974" s="310">
        <f t="shared" ca="1" si="453"/>
        <v>23</v>
      </c>
      <c r="Q974" s="304">
        <f t="shared" ca="1" si="454"/>
        <v>0</v>
      </c>
      <c r="R974" s="306">
        <f t="shared" ca="1" si="455"/>
        <v>0</v>
      </c>
      <c r="S974" s="307">
        <f t="shared" ca="1" si="456"/>
        <v>6.8519999999999914</v>
      </c>
      <c r="T974" s="304">
        <f t="shared" ca="1" si="436"/>
        <v>67.218119999999914</v>
      </c>
      <c r="U974" s="311">
        <f t="shared" ca="1" si="437"/>
        <v>0</v>
      </c>
      <c r="V974" s="306">
        <f t="shared" ca="1" si="438"/>
        <v>1.2265029544562771</v>
      </c>
      <c r="W974" s="304">
        <f t="shared" ca="1" si="439"/>
        <v>55.030621780677151</v>
      </c>
      <c r="Y974" s="314" t="str">
        <f t="shared" ca="1" si="457"/>
        <v/>
      </c>
      <c r="Z974" s="315" t="str">
        <f t="shared" ca="1" si="458"/>
        <v/>
      </c>
      <c r="AA974" s="316" t="str">
        <f t="shared" ca="1" si="459"/>
        <v/>
      </c>
      <c r="AC974" s="310" t="e">
        <f t="shared" ca="1" si="460"/>
        <v>#N/A</v>
      </c>
      <c r="AD974" s="323" t="e">
        <f t="shared" ca="1" si="461"/>
        <v>#N/A</v>
      </c>
      <c r="AE974" s="324" t="e">
        <f t="shared" ca="1" si="440"/>
        <v>#N/A</v>
      </c>
      <c r="AG974" s="306">
        <f t="shared" ca="1" si="462"/>
        <v>1.765839853419843</v>
      </c>
      <c r="AH974" s="304">
        <f t="shared" ca="1" si="463"/>
        <v>-8.0312905553359215</v>
      </c>
    </row>
    <row r="975" spans="1:34" x14ac:dyDescent="0.2">
      <c r="A975" s="347">
        <f t="shared" ca="1" si="441"/>
        <v>1E-4</v>
      </c>
      <c r="B975" s="304">
        <f t="shared" ca="1" si="442"/>
        <v>39.421700000000968</v>
      </c>
      <c r="D975" s="306">
        <f t="shared" ca="1" si="443"/>
        <v>-0.41124844496956575</v>
      </c>
      <c r="E975" s="307">
        <f t="shared" ca="1" si="444"/>
        <v>-1.7892135148386998</v>
      </c>
      <c r="F975" s="304">
        <f t="shared" ca="1" si="445"/>
        <v>1.8358677199546105</v>
      </c>
      <c r="G975" s="306">
        <f t="shared" ca="1" si="446"/>
        <v>6.8410748721568408</v>
      </c>
      <c r="H975" s="307">
        <f t="shared" ca="1" si="447"/>
        <v>-133.42592533658689</v>
      </c>
      <c r="I975" s="304">
        <f t="shared" ca="1" si="448"/>
        <v>133.60118958052325</v>
      </c>
      <c r="J975" s="306">
        <f t="shared" ca="1" si="449"/>
        <v>539.267207314762</v>
      </c>
      <c r="K975" s="307">
        <f t="shared" ca="1" si="450"/>
        <v>-12.274836729822663</v>
      </c>
      <c r="L975" s="304">
        <f t="shared" ca="1" si="435"/>
        <v>539.40688955723056</v>
      </c>
      <c r="M975" s="306">
        <f t="shared" ca="1" si="451"/>
        <v>-1.5195687296143461</v>
      </c>
      <c r="N975" s="304">
        <f t="shared" ca="1" si="452"/>
        <v>-87.064874886958179</v>
      </c>
      <c r="P975" s="310">
        <f t="shared" ca="1" si="453"/>
        <v>23</v>
      </c>
      <c r="Q975" s="304">
        <f t="shared" ca="1" si="454"/>
        <v>0</v>
      </c>
      <c r="R975" s="306">
        <f t="shared" ca="1" si="455"/>
        <v>0</v>
      </c>
      <c r="S975" s="307">
        <f t="shared" ca="1" si="456"/>
        <v>6.8519999999999914</v>
      </c>
      <c r="T975" s="304">
        <f t="shared" ca="1" si="436"/>
        <v>67.218119999999914</v>
      </c>
      <c r="U975" s="311">
        <f t="shared" ca="1" si="437"/>
        <v>0</v>
      </c>
      <c r="V975" s="306">
        <f t="shared" ca="1" si="438"/>
        <v>1.2265045909298038</v>
      </c>
      <c r="W975" s="304">
        <f t="shared" ca="1" si="439"/>
        <v>55.030840674353421</v>
      </c>
      <c r="Y975" s="314" t="str">
        <f t="shared" ca="1" si="457"/>
        <v/>
      </c>
      <c r="Z975" s="315" t="str">
        <f t="shared" ca="1" si="458"/>
        <v/>
      </c>
      <c r="AA975" s="316" t="str">
        <f t="shared" ca="1" si="459"/>
        <v/>
      </c>
      <c r="AC975" s="310" t="e">
        <f t="shared" ca="1" si="460"/>
        <v>#N/A</v>
      </c>
      <c r="AD975" s="323" t="e">
        <f t="shared" ca="1" si="461"/>
        <v>#N/A</v>
      </c>
      <c r="AE975" s="324" t="e">
        <f t="shared" ca="1" si="440"/>
        <v>#N/A</v>
      </c>
      <c r="AG975" s="306">
        <f t="shared" ca="1" si="462"/>
        <v>1.7658080960694438</v>
      </c>
      <c r="AH975" s="304">
        <f t="shared" ca="1" si="463"/>
        <v>-8.0313225015582628</v>
      </c>
    </row>
    <row r="976" spans="1:34" x14ac:dyDescent="0.2">
      <c r="A976" s="347">
        <f t="shared" ca="1" si="441"/>
        <v>1E-4</v>
      </c>
      <c r="B976" s="304">
        <f t="shared" ca="1" si="442"/>
        <v>39.421800000000971</v>
      </c>
      <c r="D976" s="306">
        <f t="shared" ca="1" si="443"/>
        <v>-0.41124706503564268</v>
      </c>
      <c r="E976" s="307">
        <f t="shared" ca="1" si="444"/>
        <v>-1.7891814561683734</v>
      </c>
      <c r="F976" s="304">
        <f t="shared" ca="1" si="445"/>
        <v>1.8358361668725265</v>
      </c>
      <c r="G976" s="306">
        <f t="shared" ca="1" si="446"/>
        <v>6.8410337474503375</v>
      </c>
      <c r="H976" s="307">
        <f t="shared" ca="1" si="447"/>
        <v>-133.42610425473251</v>
      </c>
      <c r="I976" s="304">
        <f t="shared" ca="1" si="448"/>
        <v>133.6013661581666</v>
      </c>
      <c r="J976" s="306">
        <f t="shared" ca="1" si="449"/>
        <v>539.267207314762</v>
      </c>
      <c r="K976" s="307">
        <f t="shared" ca="1" si="450"/>
        <v>-12.28817933130223</v>
      </c>
      <c r="L976" s="304">
        <f t="shared" ca="1" si="435"/>
        <v>539.40719334871756</v>
      </c>
      <c r="M976" s="306">
        <f t="shared" ca="1" si="451"/>
        <v>-1.5195691056007379</v>
      </c>
      <c r="N976" s="304">
        <f t="shared" ca="1" si="452"/>
        <v>-87.064896429391581</v>
      </c>
      <c r="P976" s="310">
        <f t="shared" ca="1" si="453"/>
        <v>23</v>
      </c>
      <c r="Q976" s="304">
        <f t="shared" ca="1" si="454"/>
        <v>0</v>
      </c>
      <c r="R976" s="306">
        <f t="shared" ca="1" si="455"/>
        <v>0</v>
      </c>
      <c r="S976" s="307">
        <f t="shared" ca="1" si="456"/>
        <v>6.8519999999999914</v>
      </c>
      <c r="T976" s="304">
        <f t="shared" ca="1" si="436"/>
        <v>67.218119999999914</v>
      </c>
      <c r="U976" s="311">
        <f t="shared" ca="1" si="437"/>
        <v>0</v>
      </c>
      <c r="V976" s="306">
        <f t="shared" ca="1" si="438"/>
        <v>1.2265062274077096</v>
      </c>
      <c r="W976" s="304">
        <f t="shared" ca="1" si="439"/>
        <v>55.031059566190443</v>
      </c>
      <c r="Y976" s="314" t="str">
        <f t="shared" ca="1" si="457"/>
        <v/>
      </c>
      <c r="Z976" s="315" t="str">
        <f t="shared" ca="1" si="458"/>
        <v/>
      </c>
      <c r="AA976" s="316" t="str">
        <f t="shared" ca="1" si="459"/>
        <v/>
      </c>
      <c r="AC976" s="310" t="e">
        <f t="shared" ca="1" si="460"/>
        <v>#N/A</v>
      </c>
      <c r="AD976" s="323" t="e">
        <f t="shared" ca="1" si="461"/>
        <v>#N/A</v>
      </c>
      <c r="AE976" s="324" t="e">
        <f t="shared" ca="1" si="440"/>
        <v>#N/A</v>
      </c>
      <c r="AG976" s="306">
        <f t="shared" ca="1" si="462"/>
        <v>1.7657763389844483</v>
      </c>
      <c r="AH976" s="304">
        <f t="shared" ca="1" si="463"/>
        <v>-8.0313544475121841</v>
      </c>
    </row>
    <row r="977" spans="1:34" x14ac:dyDescent="0.2">
      <c r="A977" s="347">
        <f t="shared" ca="1" si="441"/>
        <v>1E-4</v>
      </c>
      <c r="B977" s="304">
        <f t="shared" ca="1" si="442"/>
        <v>39.421900000000974</v>
      </c>
      <c r="D977" s="306">
        <f t="shared" ca="1" si="443"/>
        <v>-0.41124568509002785</v>
      </c>
      <c r="E977" s="307">
        <f t="shared" ca="1" si="444"/>
        <v>-1.7891493977673605</v>
      </c>
      <c r="F977" s="304">
        <f t="shared" ca="1" si="445"/>
        <v>1.8358046140688489</v>
      </c>
      <c r="G977" s="306">
        <f t="shared" ca="1" si="446"/>
        <v>6.8409926228818287</v>
      </c>
      <c r="H977" s="307">
        <f t="shared" ca="1" si="447"/>
        <v>-133.42628316967227</v>
      </c>
      <c r="I977" s="304">
        <f t="shared" ca="1" si="448"/>
        <v>133.60154273263424</v>
      </c>
      <c r="J977" s="306">
        <f t="shared" ca="1" si="449"/>
        <v>539.267207314762</v>
      </c>
      <c r="K977" s="307">
        <f t="shared" ca="1" si="450"/>
        <v>-12.30152195067345</v>
      </c>
      <c r="L977" s="304">
        <f t="shared" ca="1" si="435"/>
        <v>539.40749747047948</v>
      </c>
      <c r="M977" s="306">
        <f t="shared" ca="1" si="451"/>
        <v>-1.5195694815838758</v>
      </c>
      <c r="N977" s="304">
        <f t="shared" ca="1" si="452"/>
        <v>-87.064917971638565</v>
      </c>
      <c r="P977" s="310">
        <f t="shared" ca="1" si="453"/>
        <v>23</v>
      </c>
      <c r="Q977" s="304">
        <f t="shared" ca="1" si="454"/>
        <v>0</v>
      </c>
      <c r="R977" s="306">
        <f t="shared" ca="1" si="455"/>
        <v>0</v>
      </c>
      <c r="S977" s="307">
        <f t="shared" ca="1" si="456"/>
        <v>6.8519999999999914</v>
      </c>
      <c r="T977" s="304">
        <f t="shared" ca="1" si="436"/>
        <v>67.218119999999914</v>
      </c>
      <c r="U977" s="311">
        <f t="shared" ca="1" si="437"/>
        <v>0</v>
      </c>
      <c r="V977" s="306">
        <f t="shared" ca="1" si="438"/>
        <v>1.2265078638899949</v>
      </c>
      <c r="W977" s="304">
        <f t="shared" ca="1" si="439"/>
        <v>55.031278456188232</v>
      </c>
      <c r="Y977" s="314" t="str">
        <f t="shared" ca="1" si="457"/>
        <v/>
      </c>
      <c r="Z977" s="315" t="str">
        <f t="shared" ca="1" si="458"/>
        <v/>
      </c>
      <c r="AA977" s="316" t="str">
        <f t="shared" ca="1" si="459"/>
        <v/>
      </c>
      <c r="AC977" s="310" t="e">
        <f t="shared" ca="1" si="460"/>
        <v>#N/A</v>
      </c>
      <c r="AD977" s="323" t="e">
        <f t="shared" ca="1" si="461"/>
        <v>#N/A</v>
      </c>
      <c r="AE977" s="324" t="e">
        <f t="shared" ca="1" si="440"/>
        <v>#N/A</v>
      </c>
      <c r="AG977" s="306">
        <f t="shared" ca="1" si="462"/>
        <v>1.7657445821648512</v>
      </c>
      <c r="AH977" s="304">
        <f t="shared" ca="1" si="463"/>
        <v>-8.0313863931976819</v>
      </c>
    </row>
    <row r="978" spans="1:34" x14ac:dyDescent="0.2">
      <c r="A978" s="347">
        <f t="shared" ca="1" si="441"/>
        <v>1E-4</v>
      </c>
      <c r="B978" s="304">
        <f t="shared" ca="1" si="442"/>
        <v>39.422000000000978</v>
      </c>
      <c r="D978" s="306">
        <f t="shared" ca="1" si="443"/>
        <v>-0.41124430513271826</v>
      </c>
      <c r="E978" s="307">
        <f t="shared" ca="1" si="444"/>
        <v>-1.7891173396356628</v>
      </c>
      <c r="F978" s="304">
        <f t="shared" ca="1" si="445"/>
        <v>1.8357730615435786</v>
      </c>
      <c r="G978" s="306">
        <f t="shared" ca="1" si="446"/>
        <v>6.8409514984513153</v>
      </c>
      <c r="H978" s="307">
        <f t="shared" ca="1" si="447"/>
        <v>-133.42646208140624</v>
      </c>
      <c r="I978" s="304">
        <f t="shared" ca="1" si="448"/>
        <v>133.60171930392625</v>
      </c>
      <c r="J978" s="306">
        <f t="shared" ca="1" si="449"/>
        <v>539.267207314762</v>
      </c>
      <c r="K978" s="307">
        <f t="shared" ca="1" si="450"/>
        <v>-12.314864587936004</v>
      </c>
      <c r="L978" s="304">
        <f t="shared" ca="1" si="435"/>
        <v>539.40780192251736</v>
      </c>
      <c r="M978" s="306">
        <f t="shared" ca="1" si="451"/>
        <v>-1.5195698575637595</v>
      </c>
      <c r="N978" s="304">
        <f t="shared" ca="1" si="452"/>
        <v>-87.064939513699073</v>
      </c>
      <c r="P978" s="310">
        <f t="shared" ca="1" si="453"/>
        <v>23</v>
      </c>
      <c r="Q978" s="304">
        <f t="shared" ca="1" si="454"/>
        <v>0</v>
      </c>
      <c r="R978" s="306">
        <f t="shared" ca="1" si="455"/>
        <v>0</v>
      </c>
      <c r="S978" s="307">
        <f t="shared" ca="1" si="456"/>
        <v>6.8519999999999914</v>
      </c>
      <c r="T978" s="304">
        <f t="shared" ca="1" si="436"/>
        <v>67.218119999999914</v>
      </c>
      <c r="U978" s="311">
        <f t="shared" ca="1" si="437"/>
        <v>0</v>
      </c>
      <c r="V978" s="306">
        <f t="shared" ca="1" si="438"/>
        <v>1.2265095003766591</v>
      </c>
      <c r="W978" s="304">
        <f t="shared" ca="1" si="439"/>
        <v>55.031497344346775</v>
      </c>
      <c r="Y978" s="314" t="str">
        <f t="shared" ca="1" si="457"/>
        <v/>
      </c>
      <c r="Z978" s="315" t="str">
        <f t="shared" ca="1" si="458"/>
        <v/>
      </c>
      <c r="AA978" s="316" t="str">
        <f t="shared" ca="1" si="459"/>
        <v/>
      </c>
      <c r="AC978" s="310" t="e">
        <f t="shared" ca="1" si="460"/>
        <v>#N/A</v>
      </c>
      <c r="AD978" s="323" t="e">
        <f t="shared" ca="1" si="461"/>
        <v>#N/A</v>
      </c>
      <c r="AE978" s="324" t="e">
        <f t="shared" ca="1" si="440"/>
        <v>#N/A</v>
      </c>
      <c r="AG978" s="306">
        <f t="shared" ca="1" si="462"/>
        <v>1.7657128256106649</v>
      </c>
      <c r="AH978" s="304">
        <f t="shared" ca="1" si="463"/>
        <v>-8.0314183386147544</v>
      </c>
    </row>
    <row r="979" spans="1:34" x14ac:dyDescent="0.2">
      <c r="A979" s="347">
        <f t="shared" ca="1" si="441"/>
        <v>1E-4</v>
      </c>
      <c r="B979" s="304">
        <f t="shared" ca="1" si="442"/>
        <v>39.422100000000981</v>
      </c>
      <c r="D979" s="306">
        <f t="shared" ca="1" si="443"/>
        <v>-0.41124292516371808</v>
      </c>
      <c r="E979" s="307">
        <f t="shared" ca="1" si="444"/>
        <v>-1.7890852817732785</v>
      </c>
      <c r="F979" s="304">
        <f t="shared" ca="1" si="445"/>
        <v>1.8357415092967153</v>
      </c>
      <c r="G979" s="306">
        <f t="shared" ca="1" si="446"/>
        <v>6.8409103741587991</v>
      </c>
      <c r="H979" s="307">
        <f t="shared" ca="1" si="447"/>
        <v>-133.42664098993441</v>
      </c>
      <c r="I979" s="304">
        <f t="shared" ca="1" si="448"/>
        <v>133.60189587204263</v>
      </c>
      <c r="J979" s="306">
        <f t="shared" ca="1" si="449"/>
        <v>539.267207314762</v>
      </c>
      <c r="K979" s="307">
        <f t="shared" ca="1" si="450"/>
        <v>-12.328207243089571</v>
      </c>
      <c r="L979" s="304">
        <f t="shared" ca="1" si="435"/>
        <v>539.40810670483165</v>
      </c>
      <c r="M979" s="306">
        <f t="shared" ca="1" si="451"/>
        <v>-1.5195702335403893</v>
      </c>
      <c r="N979" s="304">
        <f t="shared" ca="1" si="452"/>
        <v>-87.064961055573164</v>
      </c>
      <c r="P979" s="310">
        <f t="shared" ca="1" si="453"/>
        <v>23</v>
      </c>
      <c r="Q979" s="304">
        <f t="shared" ca="1" si="454"/>
        <v>0</v>
      </c>
      <c r="R979" s="306">
        <f t="shared" ca="1" si="455"/>
        <v>0</v>
      </c>
      <c r="S979" s="307">
        <f t="shared" ca="1" si="456"/>
        <v>6.8519999999999914</v>
      </c>
      <c r="T979" s="304">
        <f t="shared" ca="1" si="436"/>
        <v>67.218119999999914</v>
      </c>
      <c r="U979" s="311">
        <f t="shared" ca="1" si="437"/>
        <v>0</v>
      </c>
      <c r="V979" s="306">
        <f t="shared" ca="1" si="438"/>
        <v>1.2265111368677024</v>
      </c>
      <c r="W979" s="304">
        <f t="shared" ca="1" si="439"/>
        <v>55.031716230666099</v>
      </c>
      <c r="Y979" s="314" t="str">
        <f t="shared" ca="1" si="457"/>
        <v/>
      </c>
      <c r="Z979" s="315" t="str">
        <f t="shared" ca="1" si="458"/>
        <v/>
      </c>
      <c r="AA979" s="316" t="str">
        <f t="shared" ca="1" si="459"/>
        <v/>
      </c>
      <c r="AC979" s="310" t="e">
        <f t="shared" ca="1" si="460"/>
        <v>#N/A</v>
      </c>
      <c r="AD979" s="323" t="e">
        <f t="shared" ca="1" si="461"/>
        <v>#N/A</v>
      </c>
      <c r="AE979" s="324" t="e">
        <f t="shared" ca="1" si="440"/>
        <v>#N/A</v>
      </c>
      <c r="AG979" s="306">
        <f t="shared" ca="1" si="462"/>
        <v>1.7656810693218787</v>
      </c>
      <c r="AH979" s="304">
        <f t="shared" ca="1" si="463"/>
        <v>-8.0314502837634034</v>
      </c>
    </row>
    <row r="980" spans="1:34" x14ac:dyDescent="0.2">
      <c r="A980" s="347">
        <f t="shared" ca="1" si="441"/>
        <v>1E-4</v>
      </c>
      <c r="B980" s="304">
        <f t="shared" ca="1" si="442"/>
        <v>39.422200000000984</v>
      </c>
      <c r="D980" s="306">
        <f t="shared" ca="1" si="443"/>
        <v>-0.41124154518302464</v>
      </c>
      <c r="E980" s="307">
        <f t="shared" ca="1" si="444"/>
        <v>-1.789053224180206</v>
      </c>
      <c r="F980" s="304">
        <f t="shared" ca="1" si="445"/>
        <v>1.8357099573282571</v>
      </c>
      <c r="G980" s="306">
        <f t="shared" ca="1" si="446"/>
        <v>6.8408692500042809</v>
      </c>
      <c r="H980" s="307">
        <f t="shared" ca="1" si="447"/>
        <v>-133.42681989525684</v>
      </c>
      <c r="I980" s="304">
        <f t="shared" ca="1" si="448"/>
        <v>133.60207243698341</v>
      </c>
      <c r="J980" s="306">
        <f t="shared" ca="1" si="449"/>
        <v>539.267207314762</v>
      </c>
      <c r="K980" s="307">
        <f t="shared" ca="1" si="450"/>
        <v>-12.341549916133831</v>
      </c>
      <c r="L980" s="304">
        <f t="shared" ca="1" si="435"/>
        <v>539.40841181742326</v>
      </c>
      <c r="M980" s="306">
        <f t="shared" ca="1" si="451"/>
        <v>-1.5195706095137653</v>
      </c>
      <c r="N980" s="304">
        <f t="shared" ca="1" si="452"/>
        <v>-87.064982597260808</v>
      </c>
      <c r="P980" s="310">
        <f t="shared" ca="1" si="453"/>
        <v>23</v>
      </c>
      <c r="Q980" s="304">
        <f t="shared" ca="1" si="454"/>
        <v>0</v>
      </c>
      <c r="R980" s="306">
        <f t="shared" ca="1" si="455"/>
        <v>0</v>
      </c>
      <c r="S980" s="307">
        <f t="shared" ca="1" si="456"/>
        <v>6.8519999999999914</v>
      </c>
      <c r="T980" s="304">
        <f t="shared" ca="1" si="436"/>
        <v>67.218119999999914</v>
      </c>
      <c r="U980" s="311">
        <f t="shared" ca="1" si="437"/>
        <v>0</v>
      </c>
      <c r="V980" s="306">
        <f t="shared" ca="1" si="438"/>
        <v>1.2265127733631254</v>
      </c>
      <c r="W980" s="304">
        <f t="shared" ca="1" si="439"/>
        <v>55.03193511514619</v>
      </c>
      <c r="Y980" s="314" t="str">
        <f t="shared" ca="1" si="457"/>
        <v/>
      </c>
      <c r="Z980" s="315" t="str">
        <f t="shared" ca="1" si="458"/>
        <v/>
      </c>
      <c r="AA980" s="316" t="str">
        <f t="shared" ca="1" si="459"/>
        <v/>
      </c>
      <c r="AC980" s="310" t="e">
        <f t="shared" ca="1" si="460"/>
        <v>#N/A</v>
      </c>
      <c r="AD980" s="323" t="e">
        <f t="shared" ca="1" si="461"/>
        <v>#N/A</v>
      </c>
      <c r="AE980" s="324" t="e">
        <f t="shared" ca="1" si="440"/>
        <v>#N/A</v>
      </c>
      <c r="AG980" s="306">
        <f t="shared" ca="1" si="462"/>
        <v>1.7656493132984945</v>
      </c>
      <c r="AH980" s="304">
        <f t="shared" ca="1" si="463"/>
        <v>-8.0314822286436325</v>
      </c>
    </row>
    <row r="981" spans="1:34" x14ac:dyDescent="0.2">
      <c r="A981" s="347">
        <f t="shared" ca="1" si="441"/>
        <v>1E-4</v>
      </c>
      <c r="B981" s="304">
        <f t="shared" ca="1" si="442"/>
        <v>39.422300000000988</v>
      </c>
      <c r="D981" s="306">
        <f t="shared" ca="1" si="443"/>
        <v>-0.41124016519063838</v>
      </c>
      <c r="E981" s="307">
        <f t="shared" ca="1" si="444"/>
        <v>-1.7890211668564451</v>
      </c>
      <c r="F981" s="304">
        <f t="shared" ca="1" si="445"/>
        <v>1.8356784056382043</v>
      </c>
      <c r="G981" s="306">
        <f t="shared" ca="1" si="446"/>
        <v>6.8408281259877617</v>
      </c>
      <c r="H981" s="307">
        <f t="shared" ca="1" si="447"/>
        <v>-133.42699879737353</v>
      </c>
      <c r="I981" s="304">
        <f t="shared" ca="1" si="448"/>
        <v>133.60224899874862</v>
      </c>
      <c r="J981" s="306">
        <f t="shared" ca="1" si="449"/>
        <v>539.267207314762</v>
      </c>
      <c r="K981" s="307">
        <f t="shared" ca="1" si="450"/>
        <v>-12.354892607068463</v>
      </c>
      <c r="L981" s="304">
        <f t="shared" ca="1" si="435"/>
        <v>539.40871726029297</v>
      </c>
      <c r="M981" s="306">
        <f t="shared" ca="1" si="451"/>
        <v>-1.5195709854838872</v>
      </c>
      <c r="N981" s="304">
        <f t="shared" ca="1" si="452"/>
        <v>-87.065004138762021</v>
      </c>
      <c r="P981" s="310">
        <f t="shared" ca="1" si="453"/>
        <v>23</v>
      </c>
      <c r="Q981" s="304">
        <f t="shared" ca="1" si="454"/>
        <v>0</v>
      </c>
      <c r="R981" s="306">
        <f t="shared" ca="1" si="455"/>
        <v>0</v>
      </c>
      <c r="S981" s="307">
        <f t="shared" ca="1" si="456"/>
        <v>6.8519999999999914</v>
      </c>
      <c r="T981" s="304">
        <f t="shared" ca="1" si="436"/>
        <v>67.218119999999914</v>
      </c>
      <c r="U981" s="311">
        <f t="shared" ca="1" si="437"/>
        <v>0</v>
      </c>
      <c r="V981" s="306">
        <f t="shared" ca="1" si="438"/>
        <v>1.226514409862927</v>
      </c>
      <c r="W981" s="304">
        <f t="shared" ca="1" si="439"/>
        <v>55.03215399778707</v>
      </c>
      <c r="Y981" s="314" t="str">
        <f t="shared" ca="1" si="457"/>
        <v/>
      </c>
      <c r="Z981" s="315" t="str">
        <f t="shared" ca="1" si="458"/>
        <v/>
      </c>
      <c r="AA981" s="316" t="str">
        <f t="shared" ca="1" si="459"/>
        <v/>
      </c>
      <c r="AC981" s="310" t="e">
        <f t="shared" ca="1" si="460"/>
        <v>#N/A</v>
      </c>
      <c r="AD981" s="323" t="e">
        <f t="shared" ca="1" si="461"/>
        <v>#N/A</v>
      </c>
      <c r="AE981" s="324" t="e">
        <f t="shared" ca="1" si="440"/>
        <v>#N/A</v>
      </c>
      <c r="AG981" s="306">
        <f t="shared" ca="1" si="462"/>
        <v>1.7656175575405157</v>
      </c>
      <c r="AH981" s="304">
        <f t="shared" ca="1" si="463"/>
        <v>-8.031514173255438</v>
      </c>
    </row>
    <row r="982" spans="1:34" x14ac:dyDescent="0.2">
      <c r="A982" s="347">
        <f t="shared" ca="1" si="441"/>
        <v>1E-4</v>
      </c>
      <c r="B982" s="304">
        <f t="shared" ca="1" si="442"/>
        <v>39.422400000000991</v>
      </c>
      <c r="D982" s="306">
        <f t="shared" ca="1" si="443"/>
        <v>-0.41123878518656176</v>
      </c>
      <c r="E982" s="307">
        <f t="shared" ca="1" si="444"/>
        <v>-1.7889891098019941</v>
      </c>
      <c r="F982" s="304">
        <f t="shared" ca="1" si="445"/>
        <v>1.8356468542265558</v>
      </c>
      <c r="G982" s="306">
        <f t="shared" ca="1" si="446"/>
        <v>6.8407870021092432</v>
      </c>
      <c r="H982" s="307">
        <f t="shared" ca="1" si="447"/>
        <v>-133.4271776962845</v>
      </c>
      <c r="I982" s="304">
        <f t="shared" ca="1" si="448"/>
        <v>133.60242555733825</v>
      </c>
      <c r="J982" s="306">
        <f t="shared" ca="1" si="449"/>
        <v>539.267207314762</v>
      </c>
      <c r="K982" s="307">
        <f t="shared" ca="1" si="450"/>
        <v>-12.368235315893145</v>
      </c>
      <c r="L982" s="304">
        <f t="shared" ca="1" si="435"/>
        <v>539.40902303344149</v>
      </c>
      <c r="M982" s="306">
        <f t="shared" ca="1" si="451"/>
        <v>-1.5195713614507553</v>
      </c>
      <c r="N982" s="304">
        <f t="shared" ca="1" si="452"/>
        <v>-87.065025680076801</v>
      </c>
      <c r="P982" s="310">
        <f t="shared" ca="1" si="453"/>
        <v>23</v>
      </c>
      <c r="Q982" s="304">
        <f t="shared" ca="1" si="454"/>
        <v>0</v>
      </c>
      <c r="R982" s="306">
        <f t="shared" ca="1" si="455"/>
        <v>0</v>
      </c>
      <c r="S982" s="307">
        <f t="shared" ca="1" si="456"/>
        <v>6.8519999999999914</v>
      </c>
      <c r="T982" s="304">
        <f t="shared" ca="1" si="436"/>
        <v>67.218119999999914</v>
      </c>
      <c r="U982" s="311">
        <f t="shared" ca="1" si="437"/>
        <v>0</v>
      </c>
      <c r="V982" s="306">
        <f t="shared" ca="1" si="438"/>
        <v>1.2265160463671081</v>
      </c>
      <c r="W982" s="304">
        <f t="shared" ca="1" si="439"/>
        <v>55.032372878588696</v>
      </c>
      <c r="Y982" s="314" t="str">
        <f t="shared" ca="1" si="457"/>
        <v/>
      </c>
      <c r="Z982" s="315" t="str">
        <f t="shared" ca="1" si="458"/>
        <v/>
      </c>
      <c r="AA982" s="316" t="str">
        <f t="shared" ca="1" si="459"/>
        <v/>
      </c>
      <c r="AC982" s="310" t="e">
        <f t="shared" ca="1" si="460"/>
        <v>#N/A</v>
      </c>
      <c r="AD982" s="323" t="e">
        <f t="shared" ca="1" si="461"/>
        <v>#N/A</v>
      </c>
      <c r="AE982" s="324" t="e">
        <f t="shared" ca="1" si="440"/>
        <v>#N/A</v>
      </c>
      <c r="AG982" s="306">
        <f t="shared" ca="1" si="462"/>
        <v>1.7655858020479354</v>
      </c>
      <c r="AH982" s="304">
        <f t="shared" ca="1" si="463"/>
        <v>-8.0315461175988236</v>
      </c>
    </row>
    <row r="983" spans="1:34" x14ac:dyDescent="0.2">
      <c r="A983" s="347">
        <f t="shared" ca="1" si="441"/>
        <v>1E-4</v>
      </c>
      <c r="B983" s="304">
        <f t="shared" ca="1" si="442"/>
        <v>39.422500000000994</v>
      </c>
      <c r="D983" s="306">
        <f t="shared" ca="1" si="443"/>
        <v>-0.41123740517079344</v>
      </c>
      <c r="E983" s="307">
        <f t="shared" ca="1" si="444"/>
        <v>-1.7889570530168584</v>
      </c>
      <c r="F983" s="304">
        <f t="shared" ca="1" si="445"/>
        <v>1.8356153030933171</v>
      </c>
      <c r="G983" s="306">
        <f t="shared" ca="1" si="446"/>
        <v>6.8407458783687263</v>
      </c>
      <c r="H983" s="307">
        <f t="shared" ca="1" si="447"/>
        <v>-133.42735659198979</v>
      </c>
      <c r="I983" s="304">
        <f t="shared" ca="1" si="448"/>
        <v>133.60260211275235</v>
      </c>
      <c r="J983" s="306">
        <f t="shared" ca="1" si="449"/>
        <v>539.267207314762</v>
      </c>
      <c r="K983" s="307">
        <f t="shared" ca="1" si="450"/>
        <v>-12.381578042607558</v>
      </c>
      <c r="L983" s="304">
        <f t="shared" ca="1" si="435"/>
        <v>539.40932913686959</v>
      </c>
      <c r="M983" s="306">
        <f t="shared" ca="1" si="451"/>
        <v>-1.5195717374143698</v>
      </c>
      <c r="N983" s="304">
        <f t="shared" ca="1" si="452"/>
        <v>-87.065047221205162</v>
      </c>
      <c r="P983" s="310">
        <f t="shared" ca="1" si="453"/>
        <v>23</v>
      </c>
      <c r="Q983" s="304">
        <f t="shared" ca="1" si="454"/>
        <v>0</v>
      </c>
      <c r="R983" s="306">
        <f t="shared" ca="1" si="455"/>
        <v>0</v>
      </c>
      <c r="S983" s="307">
        <f t="shared" ca="1" si="456"/>
        <v>6.8519999999999914</v>
      </c>
      <c r="T983" s="304">
        <f t="shared" ca="1" si="436"/>
        <v>67.218119999999914</v>
      </c>
      <c r="U983" s="311">
        <f t="shared" ca="1" si="437"/>
        <v>0</v>
      </c>
      <c r="V983" s="306">
        <f t="shared" ca="1" si="438"/>
        <v>1.2265176828756681</v>
      </c>
      <c r="W983" s="304">
        <f t="shared" ca="1" si="439"/>
        <v>55.032591757551089</v>
      </c>
      <c r="Y983" s="314" t="str">
        <f t="shared" ca="1" si="457"/>
        <v/>
      </c>
      <c r="Z983" s="315" t="str">
        <f t="shared" ca="1" si="458"/>
        <v/>
      </c>
      <c r="AA983" s="316" t="str">
        <f t="shared" ca="1" si="459"/>
        <v/>
      </c>
      <c r="AC983" s="310" t="e">
        <f t="shared" ca="1" si="460"/>
        <v>#N/A</v>
      </c>
      <c r="AD983" s="323" t="e">
        <f t="shared" ca="1" si="461"/>
        <v>#N/A</v>
      </c>
      <c r="AE983" s="324" t="e">
        <f t="shared" ca="1" si="440"/>
        <v>#N/A</v>
      </c>
      <c r="AG983" s="306">
        <f t="shared" ca="1" si="462"/>
        <v>1.7655540468207622</v>
      </c>
      <c r="AH983" s="304">
        <f t="shared" ca="1" si="463"/>
        <v>-8.031578061673784</v>
      </c>
    </row>
    <row r="984" spans="1:34" x14ac:dyDescent="0.2">
      <c r="A984" s="347">
        <f t="shared" ca="1" si="441"/>
        <v>1E-4</v>
      </c>
      <c r="B984" s="304">
        <f t="shared" ca="1" si="442"/>
        <v>39.422600000000998</v>
      </c>
      <c r="D984" s="306">
        <f t="shared" ca="1" si="443"/>
        <v>-0.41123602514333241</v>
      </c>
      <c r="E984" s="307">
        <f t="shared" ca="1" si="444"/>
        <v>-1.7889249965010361</v>
      </c>
      <c r="F984" s="304">
        <f t="shared" ca="1" si="445"/>
        <v>1.8355837522384859</v>
      </c>
      <c r="G984" s="306">
        <f t="shared" ca="1" si="446"/>
        <v>6.8407047547662119</v>
      </c>
      <c r="H984" s="307">
        <f t="shared" ca="1" si="447"/>
        <v>-133.42753548448945</v>
      </c>
      <c r="I984" s="304">
        <f t="shared" ca="1" si="448"/>
        <v>133.60277866499101</v>
      </c>
      <c r="J984" s="306">
        <f t="shared" ca="1" si="449"/>
        <v>539.267207314762</v>
      </c>
      <c r="K984" s="307">
        <f t="shared" ca="1" si="450"/>
        <v>-12.394920787211381</v>
      </c>
      <c r="L984" s="304">
        <f t="shared" ca="1" si="435"/>
        <v>539.40963557057796</v>
      </c>
      <c r="M984" s="306">
        <f t="shared" ca="1" si="451"/>
        <v>-1.5195721133747302</v>
      </c>
      <c r="N984" s="304">
        <f t="shared" ca="1" si="452"/>
        <v>-87.065068762147078</v>
      </c>
      <c r="P984" s="310">
        <f t="shared" ca="1" si="453"/>
        <v>23</v>
      </c>
      <c r="Q984" s="304">
        <f t="shared" ca="1" si="454"/>
        <v>0</v>
      </c>
      <c r="R984" s="306">
        <f t="shared" ca="1" si="455"/>
        <v>0</v>
      </c>
      <c r="S984" s="307">
        <f t="shared" ca="1" si="456"/>
        <v>6.8519999999999914</v>
      </c>
      <c r="T984" s="304">
        <f t="shared" ca="1" si="436"/>
        <v>67.218119999999914</v>
      </c>
      <c r="U984" s="311">
        <f t="shared" ca="1" si="437"/>
        <v>0</v>
      </c>
      <c r="V984" s="306">
        <f t="shared" ca="1" si="438"/>
        <v>1.226519319388607</v>
      </c>
      <c r="W984" s="304">
        <f t="shared" ca="1" si="439"/>
        <v>55.032810634674298</v>
      </c>
      <c r="Y984" s="314" t="str">
        <f t="shared" ca="1" si="457"/>
        <v/>
      </c>
      <c r="Z984" s="315" t="str">
        <f t="shared" ca="1" si="458"/>
        <v/>
      </c>
      <c r="AA984" s="316" t="str">
        <f t="shared" ca="1" si="459"/>
        <v/>
      </c>
      <c r="AC984" s="310" t="e">
        <f t="shared" ca="1" si="460"/>
        <v>#N/A</v>
      </c>
      <c r="AD984" s="323" t="e">
        <f t="shared" ca="1" si="461"/>
        <v>#N/A</v>
      </c>
      <c r="AE984" s="324" t="e">
        <f t="shared" ca="1" si="440"/>
        <v>#N/A</v>
      </c>
      <c r="AG984" s="306">
        <f t="shared" ca="1" si="462"/>
        <v>1.7655222918589928</v>
      </c>
      <c r="AH984" s="304">
        <f t="shared" ca="1" si="463"/>
        <v>-8.0316100054803208</v>
      </c>
    </row>
    <row r="985" spans="1:34" x14ac:dyDescent="0.2">
      <c r="A985" s="347">
        <f t="shared" ca="1" si="441"/>
        <v>1E-4</v>
      </c>
      <c r="B985" s="304">
        <f t="shared" ca="1" si="442"/>
        <v>39.422700000001001</v>
      </c>
      <c r="D985" s="306">
        <f t="shared" ca="1" si="443"/>
        <v>-0.41123464510418317</v>
      </c>
      <c r="E985" s="307">
        <f t="shared" ca="1" si="444"/>
        <v>-1.7888929402545184</v>
      </c>
      <c r="F985" s="304">
        <f t="shared" ca="1" si="445"/>
        <v>1.8355522016620553</v>
      </c>
      <c r="G985" s="306">
        <f t="shared" ca="1" si="446"/>
        <v>6.8406636313017017</v>
      </c>
      <c r="H985" s="307">
        <f t="shared" ca="1" si="447"/>
        <v>-133.42771437378349</v>
      </c>
      <c r="I985" s="304">
        <f t="shared" ca="1" si="448"/>
        <v>133.60295521405416</v>
      </c>
      <c r="J985" s="306">
        <f t="shared" ca="1" si="449"/>
        <v>539.267207314762</v>
      </c>
      <c r="K985" s="307">
        <f t="shared" ca="1" si="450"/>
        <v>-12.408263549704294</v>
      </c>
      <c r="L985" s="304">
        <f t="shared" ca="1" si="435"/>
        <v>539.40994233456752</v>
      </c>
      <c r="M985" s="306">
        <f t="shared" ca="1" si="451"/>
        <v>-1.519572489331837</v>
      </c>
      <c r="N985" s="304">
        <f t="shared" ca="1" si="452"/>
        <v>-87.065090302902576</v>
      </c>
      <c r="P985" s="310">
        <f t="shared" ca="1" si="453"/>
        <v>23</v>
      </c>
      <c r="Q985" s="304">
        <f t="shared" ca="1" si="454"/>
        <v>0</v>
      </c>
      <c r="R985" s="306">
        <f t="shared" ca="1" si="455"/>
        <v>0</v>
      </c>
      <c r="S985" s="307">
        <f t="shared" ca="1" si="456"/>
        <v>6.8519999999999914</v>
      </c>
      <c r="T985" s="304">
        <f t="shared" ca="1" si="436"/>
        <v>67.218119999999914</v>
      </c>
      <c r="U985" s="311">
        <f t="shared" ca="1" si="437"/>
        <v>0</v>
      </c>
      <c r="V985" s="306">
        <f t="shared" ca="1" si="438"/>
        <v>1.2265209559059251</v>
      </c>
      <c r="W985" s="304">
        <f t="shared" ca="1" si="439"/>
        <v>55.033029509958268</v>
      </c>
      <c r="Y985" s="314" t="str">
        <f t="shared" ca="1" si="457"/>
        <v/>
      </c>
      <c r="Z985" s="315" t="str">
        <f t="shared" ca="1" si="458"/>
        <v/>
      </c>
      <c r="AA985" s="316" t="str">
        <f t="shared" ca="1" si="459"/>
        <v/>
      </c>
      <c r="AC985" s="310" t="e">
        <f t="shared" ca="1" si="460"/>
        <v>#N/A</v>
      </c>
      <c r="AD985" s="323" t="e">
        <f t="shared" ca="1" si="461"/>
        <v>#N/A</v>
      </c>
      <c r="AE985" s="324" t="e">
        <f t="shared" ca="1" si="440"/>
        <v>#N/A</v>
      </c>
      <c r="AG985" s="306">
        <f t="shared" ca="1" si="462"/>
        <v>1.7654905371626182</v>
      </c>
      <c r="AH985" s="304">
        <f t="shared" ca="1" si="463"/>
        <v>-8.031641949018443</v>
      </c>
    </row>
    <row r="986" spans="1:34" x14ac:dyDescent="0.2">
      <c r="A986" s="347">
        <f t="shared" ca="1" si="441"/>
        <v>1E-4</v>
      </c>
      <c r="B986" s="304">
        <f t="shared" ca="1" si="442"/>
        <v>39.422800000001004</v>
      </c>
      <c r="D986" s="306">
        <f t="shared" ca="1" si="443"/>
        <v>-0.41123326505334223</v>
      </c>
      <c r="E986" s="307">
        <f t="shared" ca="1" si="444"/>
        <v>-1.7888608842773159</v>
      </c>
      <c r="F986" s="304">
        <f t="shared" ca="1" si="445"/>
        <v>1.8355206513640354</v>
      </c>
      <c r="G986" s="306">
        <f t="shared" ca="1" si="446"/>
        <v>6.8406225079751968</v>
      </c>
      <c r="H986" s="307">
        <f t="shared" ca="1" si="447"/>
        <v>-133.42789325987192</v>
      </c>
      <c r="I986" s="304">
        <f t="shared" ca="1" si="448"/>
        <v>133.60313175994187</v>
      </c>
      <c r="J986" s="306">
        <f t="shared" ca="1" si="449"/>
        <v>539.267207314762</v>
      </c>
      <c r="K986" s="307">
        <f t="shared" ca="1" si="450"/>
        <v>-12.421606330085977</v>
      </c>
      <c r="L986" s="304">
        <f t="shared" ca="1" si="435"/>
        <v>539.41024942883882</v>
      </c>
      <c r="M986" s="306">
        <f t="shared" ca="1" si="451"/>
        <v>-1.5195728652856901</v>
      </c>
      <c r="N986" s="304">
        <f t="shared" ca="1" si="452"/>
        <v>-87.065111843471655</v>
      </c>
      <c r="P986" s="310">
        <f t="shared" ca="1" si="453"/>
        <v>23</v>
      </c>
      <c r="Q986" s="304">
        <f t="shared" ca="1" si="454"/>
        <v>0</v>
      </c>
      <c r="R986" s="306">
        <f t="shared" ca="1" si="455"/>
        <v>0</v>
      </c>
      <c r="S986" s="307">
        <f t="shared" ca="1" si="456"/>
        <v>6.8519999999999914</v>
      </c>
      <c r="T986" s="304">
        <f t="shared" ca="1" si="436"/>
        <v>67.218119999999914</v>
      </c>
      <c r="U986" s="311">
        <f t="shared" ca="1" si="437"/>
        <v>0</v>
      </c>
      <c r="V986" s="306">
        <f t="shared" ca="1" si="438"/>
        <v>1.2265225924276222</v>
      </c>
      <c r="W986" s="304">
        <f t="shared" ca="1" si="439"/>
        <v>55.03324838340302</v>
      </c>
      <c r="Y986" s="314" t="str">
        <f t="shared" ca="1" si="457"/>
        <v/>
      </c>
      <c r="Z986" s="315" t="str">
        <f t="shared" ca="1" si="458"/>
        <v/>
      </c>
      <c r="AA986" s="316" t="str">
        <f t="shared" ca="1" si="459"/>
        <v/>
      </c>
      <c r="AC986" s="310" t="e">
        <f t="shared" ca="1" si="460"/>
        <v>#N/A</v>
      </c>
      <c r="AD986" s="323" t="e">
        <f t="shared" ca="1" si="461"/>
        <v>#N/A</v>
      </c>
      <c r="AE986" s="324" t="e">
        <f t="shared" ca="1" si="440"/>
        <v>#N/A</v>
      </c>
      <c r="AG986" s="306">
        <f t="shared" ca="1" si="462"/>
        <v>1.7654587827316508</v>
      </c>
      <c r="AH986" s="304">
        <f t="shared" ca="1" si="463"/>
        <v>-8.0316738922881399</v>
      </c>
    </row>
    <row r="987" spans="1:34" x14ac:dyDescent="0.2">
      <c r="A987" s="347">
        <f t="shared" ca="1" si="441"/>
        <v>1E-4</v>
      </c>
      <c r="B987" s="304">
        <f t="shared" ca="1" si="442"/>
        <v>39.422900000001007</v>
      </c>
      <c r="D987" s="306">
        <f t="shared" ca="1" si="443"/>
        <v>-0.41123188499081059</v>
      </c>
      <c r="E987" s="307">
        <f t="shared" ca="1" si="444"/>
        <v>-1.7888288285694234</v>
      </c>
      <c r="F987" s="304">
        <f t="shared" ca="1" si="445"/>
        <v>1.8354891013444212</v>
      </c>
      <c r="G987" s="306">
        <f t="shared" ca="1" si="446"/>
        <v>6.8405813847866979</v>
      </c>
      <c r="H987" s="307">
        <f t="shared" ca="1" si="447"/>
        <v>-133.42807214275479</v>
      </c>
      <c r="I987" s="304">
        <f t="shared" ca="1" si="448"/>
        <v>133.6033083026542</v>
      </c>
      <c r="J987" s="306">
        <f t="shared" ca="1" si="449"/>
        <v>539.267207314762</v>
      </c>
      <c r="K987" s="307">
        <f t="shared" ca="1" si="450"/>
        <v>-12.434949128356108</v>
      </c>
      <c r="L987" s="304">
        <f t="shared" ca="1" si="435"/>
        <v>539.41055685339279</v>
      </c>
      <c r="M987" s="306">
        <f t="shared" ca="1" si="451"/>
        <v>-1.5195732412362897</v>
      </c>
      <c r="N987" s="304">
        <f t="shared" ca="1" si="452"/>
        <v>-87.065133383854302</v>
      </c>
      <c r="P987" s="310">
        <f t="shared" ca="1" si="453"/>
        <v>23</v>
      </c>
      <c r="Q987" s="304">
        <f t="shared" ca="1" si="454"/>
        <v>0</v>
      </c>
      <c r="R987" s="306">
        <f t="shared" ca="1" si="455"/>
        <v>0</v>
      </c>
      <c r="S987" s="307">
        <f t="shared" ca="1" si="456"/>
        <v>6.8519999999999914</v>
      </c>
      <c r="T987" s="304">
        <f t="shared" ca="1" si="436"/>
        <v>67.218119999999914</v>
      </c>
      <c r="U987" s="311">
        <f t="shared" ca="1" si="437"/>
        <v>0</v>
      </c>
      <c r="V987" s="306">
        <f t="shared" ca="1" si="438"/>
        <v>1.2265242289536988</v>
      </c>
      <c r="W987" s="304">
        <f t="shared" ca="1" si="439"/>
        <v>55.033467255008595</v>
      </c>
      <c r="Y987" s="314" t="str">
        <f t="shared" ca="1" si="457"/>
        <v/>
      </c>
      <c r="Z987" s="315" t="str">
        <f t="shared" ca="1" si="458"/>
        <v/>
      </c>
      <c r="AA987" s="316" t="str">
        <f t="shared" ca="1" si="459"/>
        <v/>
      </c>
      <c r="AC987" s="310" t="e">
        <f t="shared" ca="1" si="460"/>
        <v>#N/A</v>
      </c>
      <c r="AD987" s="323" t="e">
        <f t="shared" ca="1" si="461"/>
        <v>#N/A</v>
      </c>
      <c r="AE987" s="324" t="e">
        <f t="shared" ca="1" si="440"/>
        <v>#N/A</v>
      </c>
      <c r="AG987" s="306">
        <f t="shared" ca="1" si="462"/>
        <v>1.7654270285660871</v>
      </c>
      <c r="AH987" s="304">
        <f t="shared" ca="1" si="463"/>
        <v>-8.0317058352894168</v>
      </c>
    </row>
    <row r="988" spans="1:34" x14ac:dyDescent="0.2">
      <c r="A988" s="347">
        <f t="shared" ca="1" si="441"/>
        <v>1E-4</v>
      </c>
      <c r="B988" s="304">
        <f t="shared" ca="1" si="442"/>
        <v>39.423000000001011</v>
      </c>
      <c r="D988" s="306">
        <f t="shared" ca="1" si="443"/>
        <v>-0.41123050491658908</v>
      </c>
      <c r="E988" s="307">
        <f t="shared" ca="1" si="444"/>
        <v>-1.7887967731308336</v>
      </c>
      <c r="F988" s="304">
        <f t="shared" ca="1" si="445"/>
        <v>1.8354575516032061</v>
      </c>
      <c r="G988" s="306">
        <f t="shared" ca="1" si="446"/>
        <v>6.8405402617362059</v>
      </c>
      <c r="H988" s="307">
        <f t="shared" ca="1" si="447"/>
        <v>-133.42825102243211</v>
      </c>
      <c r="I988" s="304">
        <f t="shared" ca="1" si="448"/>
        <v>133.60348484219111</v>
      </c>
      <c r="J988" s="306">
        <f t="shared" ca="1" si="449"/>
        <v>539.267207314762</v>
      </c>
      <c r="K988" s="307">
        <f t="shared" ca="1" si="450"/>
        <v>-12.448291944514366</v>
      </c>
      <c r="L988" s="304">
        <f t="shared" ca="1" si="435"/>
        <v>539.4108646082301</v>
      </c>
      <c r="M988" s="306">
        <f t="shared" ca="1" si="451"/>
        <v>-1.5195736171836354</v>
      </c>
      <c r="N988" s="304">
        <f t="shared" ca="1" si="452"/>
        <v>-87.065154924050532</v>
      </c>
      <c r="P988" s="310">
        <f t="shared" ca="1" si="453"/>
        <v>23</v>
      </c>
      <c r="Q988" s="304">
        <f t="shared" ca="1" si="454"/>
        <v>0</v>
      </c>
      <c r="R988" s="306">
        <f t="shared" ca="1" si="455"/>
        <v>0</v>
      </c>
      <c r="S988" s="307">
        <f t="shared" ca="1" si="456"/>
        <v>6.8519999999999914</v>
      </c>
      <c r="T988" s="304">
        <f t="shared" ca="1" si="436"/>
        <v>67.218119999999914</v>
      </c>
      <c r="U988" s="311">
        <f t="shared" ca="1" si="437"/>
        <v>0</v>
      </c>
      <c r="V988" s="306">
        <f t="shared" ca="1" si="438"/>
        <v>1.2265258654841538</v>
      </c>
      <c r="W988" s="304">
        <f t="shared" ca="1" si="439"/>
        <v>55.033686124774917</v>
      </c>
      <c r="Y988" s="314" t="str">
        <f t="shared" ca="1" si="457"/>
        <v/>
      </c>
      <c r="Z988" s="315" t="str">
        <f t="shared" ca="1" si="458"/>
        <v/>
      </c>
      <c r="AA988" s="316" t="str">
        <f t="shared" ca="1" si="459"/>
        <v/>
      </c>
      <c r="AC988" s="310" t="e">
        <f t="shared" ca="1" si="460"/>
        <v>#N/A</v>
      </c>
      <c r="AD988" s="323" t="e">
        <f t="shared" ca="1" si="461"/>
        <v>#N/A</v>
      </c>
      <c r="AE988" s="324" t="e">
        <f t="shared" ca="1" si="440"/>
        <v>#N/A</v>
      </c>
      <c r="AG988" s="306">
        <f t="shared" ca="1" si="462"/>
        <v>1.765395274665913</v>
      </c>
      <c r="AH988" s="304">
        <f t="shared" ca="1" si="463"/>
        <v>-8.0317377780222809</v>
      </c>
    </row>
    <row r="989" spans="1:34" x14ac:dyDescent="0.2">
      <c r="A989" s="347">
        <f t="shared" ca="1" si="441"/>
        <v>1E-4</v>
      </c>
      <c r="B989" s="304">
        <f t="shared" ca="1" si="442"/>
        <v>39.423100000001014</v>
      </c>
      <c r="D989" s="306">
        <f t="shared" ca="1" si="443"/>
        <v>-0.41122912483067953</v>
      </c>
      <c r="E989" s="307">
        <f t="shared" ca="1" si="444"/>
        <v>-1.7887647179615609</v>
      </c>
      <c r="F989" s="304">
        <f t="shared" ca="1" si="445"/>
        <v>1.8354260021404047</v>
      </c>
      <c r="G989" s="306">
        <f t="shared" ca="1" si="446"/>
        <v>6.8404991388237226</v>
      </c>
      <c r="H989" s="307">
        <f t="shared" ca="1" si="447"/>
        <v>-133.42842989890391</v>
      </c>
      <c r="I989" s="304">
        <f t="shared" ca="1" si="448"/>
        <v>133.60366137855266</v>
      </c>
      <c r="J989" s="306">
        <f t="shared" ca="1" si="449"/>
        <v>539.267207314762</v>
      </c>
      <c r="K989" s="307">
        <f t="shared" ca="1" si="450"/>
        <v>-12.461634778560434</v>
      </c>
      <c r="L989" s="304">
        <f t="shared" ca="1" si="435"/>
        <v>539.41117269335155</v>
      </c>
      <c r="M989" s="306">
        <f t="shared" ca="1" si="451"/>
        <v>-1.5195739931277277</v>
      </c>
      <c r="N989" s="304">
        <f t="shared" ca="1" si="452"/>
        <v>-87.065176464060357</v>
      </c>
      <c r="P989" s="310">
        <f t="shared" ca="1" si="453"/>
        <v>23</v>
      </c>
      <c r="Q989" s="304">
        <f t="shared" ca="1" si="454"/>
        <v>0</v>
      </c>
      <c r="R989" s="306">
        <f t="shared" ca="1" si="455"/>
        <v>0</v>
      </c>
      <c r="S989" s="307">
        <f t="shared" ca="1" si="456"/>
        <v>6.8519999999999914</v>
      </c>
      <c r="T989" s="304">
        <f t="shared" ca="1" si="436"/>
        <v>67.218119999999914</v>
      </c>
      <c r="U989" s="311">
        <f t="shared" ca="1" si="437"/>
        <v>0</v>
      </c>
      <c r="V989" s="306">
        <f t="shared" ca="1" si="438"/>
        <v>1.2265275020189879</v>
      </c>
      <c r="W989" s="304">
        <f t="shared" ca="1" si="439"/>
        <v>55.033904992702041</v>
      </c>
      <c r="Y989" s="314" t="str">
        <f t="shared" ca="1" si="457"/>
        <v/>
      </c>
      <c r="Z989" s="315" t="str">
        <f t="shared" ca="1" si="458"/>
        <v/>
      </c>
      <c r="AA989" s="316" t="str">
        <f t="shared" ca="1" si="459"/>
        <v/>
      </c>
      <c r="AC989" s="310" t="e">
        <f t="shared" ca="1" si="460"/>
        <v>#N/A</v>
      </c>
      <c r="AD989" s="323" t="e">
        <f t="shared" ca="1" si="461"/>
        <v>#N/A</v>
      </c>
      <c r="AE989" s="324" t="e">
        <f t="shared" ca="1" si="440"/>
        <v>#N/A</v>
      </c>
      <c r="AG989" s="306">
        <f t="shared" ca="1" si="462"/>
        <v>1.7653635210311478</v>
      </c>
      <c r="AH989" s="304">
        <f t="shared" ca="1" si="463"/>
        <v>-8.031769720486718</v>
      </c>
    </row>
    <row r="990" spans="1:34" x14ac:dyDescent="0.2">
      <c r="A990" s="347">
        <f t="shared" ca="1" si="441"/>
        <v>1E-4</v>
      </c>
      <c r="B990" s="304">
        <f t="shared" ca="1" si="442"/>
        <v>39.423200000001017</v>
      </c>
      <c r="D990" s="306">
        <f t="shared" ca="1" si="443"/>
        <v>-0.41122774473307933</v>
      </c>
      <c r="E990" s="307">
        <f t="shared" ca="1" si="444"/>
        <v>-1.7887326630615963</v>
      </c>
      <c r="F990" s="304">
        <f t="shared" ca="1" si="445"/>
        <v>1.8353944529560082</v>
      </c>
      <c r="G990" s="306">
        <f t="shared" ca="1" si="446"/>
        <v>6.840458016049249</v>
      </c>
      <c r="H990" s="307">
        <f t="shared" ca="1" si="447"/>
        <v>-133.42860877217021</v>
      </c>
      <c r="I990" s="304">
        <f t="shared" ca="1" si="448"/>
        <v>133.60383791173885</v>
      </c>
      <c r="J990" s="306">
        <f t="shared" ca="1" si="449"/>
        <v>539.267207314762</v>
      </c>
      <c r="K990" s="307">
        <f t="shared" ca="1" si="450"/>
        <v>-12.474977630493989</v>
      </c>
      <c r="L990" s="304">
        <f t="shared" ca="1" si="435"/>
        <v>539.41148110875781</v>
      </c>
      <c r="M990" s="306">
        <f t="shared" ca="1" si="451"/>
        <v>-1.5195743690685664</v>
      </c>
      <c r="N990" s="304">
        <f t="shared" ca="1" si="452"/>
        <v>-87.065198003883765</v>
      </c>
      <c r="P990" s="310">
        <f t="shared" ca="1" si="453"/>
        <v>23</v>
      </c>
      <c r="Q990" s="304">
        <f t="shared" ca="1" si="454"/>
        <v>0</v>
      </c>
      <c r="R990" s="306">
        <f t="shared" ca="1" si="455"/>
        <v>0</v>
      </c>
      <c r="S990" s="307">
        <f t="shared" ca="1" si="456"/>
        <v>6.8519999999999914</v>
      </c>
      <c r="T990" s="304">
        <f t="shared" ca="1" si="436"/>
        <v>67.218119999999914</v>
      </c>
      <c r="U990" s="311">
        <f t="shared" ca="1" si="437"/>
        <v>0</v>
      </c>
      <c r="V990" s="306">
        <f t="shared" ca="1" si="438"/>
        <v>1.2265291385582007</v>
      </c>
      <c r="W990" s="304">
        <f t="shared" ca="1" si="439"/>
        <v>55.034123858789926</v>
      </c>
      <c r="Y990" s="314" t="str">
        <f t="shared" ca="1" si="457"/>
        <v/>
      </c>
      <c r="Z990" s="315" t="str">
        <f t="shared" ca="1" si="458"/>
        <v/>
      </c>
      <c r="AA990" s="316" t="str">
        <f t="shared" ca="1" si="459"/>
        <v/>
      </c>
      <c r="AC990" s="310" t="e">
        <f t="shared" ca="1" si="460"/>
        <v>#N/A</v>
      </c>
      <c r="AD990" s="323" t="e">
        <f t="shared" ca="1" si="461"/>
        <v>#N/A</v>
      </c>
      <c r="AE990" s="324" t="e">
        <f t="shared" ca="1" si="440"/>
        <v>#N/A</v>
      </c>
      <c r="AG990" s="306">
        <f t="shared" ca="1" si="462"/>
        <v>1.7653317676617846</v>
      </c>
      <c r="AH990" s="304">
        <f t="shared" ca="1" si="463"/>
        <v>-8.0318016626827369</v>
      </c>
    </row>
    <row r="991" spans="1:34" x14ac:dyDescent="0.2">
      <c r="A991" s="347">
        <f t="shared" ca="1" si="441"/>
        <v>1E-4</v>
      </c>
      <c r="B991" s="304">
        <f t="shared" ca="1" si="442"/>
        <v>39.423300000001021</v>
      </c>
      <c r="D991" s="306">
        <f t="shared" ca="1" si="443"/>
        <v>-0.41122636462379064</v>
      </c>
      <c r="E991" s="307">
        <f t="shared" ca="1" si="444"/>
        <v>-1.7887006084309451</v>
      </c>
      <c r="F991" s="304">
        <f t="shared" ca="1" si="445"/>
        <v>1.8353629040500226</v>
      </c>
      <c r="G991" s="306">
        <f t="shared" ca="1" si="446"/>
        <v>6.8404168934127867</v>
      </c>
      <c r="H991" s="307">
        <f t="shared" ca="1" si="447"/>
        <v>-133.42878764223104</v>
      </c>
      <c r="I991" s="304">
        <f t="shared" ca="1" si="448"/>
        <v>133.60401444174974</v>
      </c>
      <c r="J991" s="306">
        <f t="shared" ca="1" si="449"/>
        <v>539.267207314762</v>
      </c>
      <c r="K991" s="307">
        <f t="shared" ca="1" si="450"/>
        <v>-12.488320500314709</v>
      </c>
      <c r="L991" s="304">
        <f t="shared" ca="1" si="435"/>
        <v>539.41178985444981</v>
      </c>
      <c r="M991" s="306">
        <f t="shared" ca="1" si="451"/>
        <v>-1.5195747450061516</v>
      </c>
      <c r="N991" s="304">
        <f t="shared" ca="1" si="452"/>
        <v>-87.065219543520755</v>
      </c>
      <c r="P991" s="310">
        <f t="shared" ca="1" si="453"/>
        <v>23</v>
      </c>
      <c r="Q991" s="304">
        <f t="shared" ca="1" si="454"/>
        <v>0</v>
      </c>
      <c r="R991" s="306">
        <f t="shared" ca="1" si="455"/>
        <v>0</v>
      </c>
      <c r="S991" s="307">
        <f t="shared" ca="1" si="456"/>
        <v>6.8519999999999914</v>
      </c>
      <c r="T991" s="304">
        <f t="shared" ca="1" si="436"/>
        <v>67.218119999999914</v>
      </c>
      <c r="U991" s="311">
        <f t="shared" ca="1" si="437"/>
        <v>0</v>
      </c>
      <c r="V991" s="306">
        <f t="shared" ca="1" si="438"/>
        <v>1.2265307751017926</v>
      </c>
      <c r="W991" s="304">
        <f t="shared" ca="1" si="439"/>
        <v>55.034342723038634</v>
      </c>
      <c r="Y991" s="314" t="str">
        <f t="shared" ca="1" si="457"/>
        <v/>
      </c>
      <c r="Z991" s="315" t="str">
        <f t="shared" ca="1" si="458"/>
        <v/>
      </c>
      <c r="AA991" s="316" t="str">
        <f t="shared" ca="1" si="459"/>
        <v/>
      </c>
      <c r="AC991" s="310" t="e">
        <f t="shared" ca="1" si="460"/>
        <v>#N/A</v>
      </c>
      <c r="AD991" s="323" t="e">
        <f t="shared" ca="1" si="461"/>
        <v>#N/A</v>
      </c>
      <c r="AE991" s="324" t="e">
        <f t="shared" ca="1" si="440"/>
        <v>#N/A</v>
      </c>
      <c r="AG991" s="306">
        <f t="shared" ca="1" si="462"/>
        <v>1.7653000145578233</v>
      </c>
      <c r="AH991" s="304">
        <f t="shared" ca="1" si="463"/>
        <v>-8.0318336046103322</v>
      </c>
    </row>
    <row r="992" spans="1:34" x14ac:dyDescent="0.2">
      <c r="A992" s="347">
        <f t="shared" ca="1" si="441"/>
        <v>1E-4</v>
      </c>
      <c r="B992" s="304">
        <f t="shared" ca="1" si="442"/>
        <v>39.423400000001024</v>
      </c>
      <c r="D992" s="306">
        <f t="shared" ca="1" si="443"/>
        <v>-0.41122498450281275</v>
      </c>
      <c r="E992" s="307">
        <f t="shared" ca="1" si="444"/>
        <v>-1.7886685540695968</v>
      </c>
      <c r="F992" s="304">
        <f t="shared" ca="1" si="445"/>
        <v>1.8353313554224371</v>
      </c>
      <c r="G992" s="306">
        <f t="shared" ca="1" si="446"/>
        <v>6.8403757709143367</v>
      </c>
      <c r="H992" s="307">
        <f t="shared" ca="1" si="447"/>
        <v>-133.42896650908645</v>
      </c>
      <c r="I992" s="304">
        <f t="shared" ca="1" si="448"/>
        <v>133.60419096858536</v>
      </c>
      <c r="J992" s="306">
        <f t="shared" ca="1" si="449"/>
        <v>539.267207314762</v>
      </c>
      <c r="K992" s="307">
        <f t="shared" ca="1" si="450"/>
        <v>-12.501663388022275</v>
      </c>
      <c r="L992" s="304">
        <f t="shared" ca="1" si="435"/>
        <v>539.4120989304281</v>
      </c>
      <c r="M992" s="306">
        <f t="shared" ca="1" si="451"/>
        <v>-1.5195751209404835</v>
      </c>
      <c r="N992" s="304">
        <f t="shared" ca="1" si="452"/>
        <v>-87.065241082971355</v>
      </c>
      <c r="P992" s="310">
        <f t="shared" ca="1" si="453"/>
        <v>23</v>
      </c>
      <c r="Q992" s="304">
        <f t="shared" ca="1" si="454"/>
        <v>0</v>
      </c>
      <c r="R992" s="306">
        <f t="shared" ca="1" si="455"/>
        <v>0</v>
      </c>
      <c r="S992" s="307">
        <f t="shared" ca="1" si="456"/>
        <v>6.8519999999999914</v>
      </c>
      <c r="T992" s="304">
        <f t="shared" ca="1" si="436"/>
        <v>67.218119999999914</v>
      </c>
      <c r="U992" s="311">
        <f t="shared" ca="1" si="437"/>
        <v>0</v>
      </c>
      <c r="V992" s="306">
        <f t="shared" ca="1" si="438"/>
        <v>1.2265324116497638</v>
      </c>
      <c r="W992" s="304">
        <f t="shared" ca="1" si="439"/>
        <v>55.034561585448166</v>
      </c>
      <c r="Y992" s="314" t="str">
        <f t="shared" ca="1" si="457"/>
        <v/>
      </c>
      <c r="Z992" s="315" t="str">
        <f t="shared" ca="1" si="458"/>
        <v/>
      </c>
      <c r="AA992" s="316" t="str">
        <f t="shared" ca="1" si="459"/>
        <v/>
      </c>
      <c r="AC992" s="310" t="e">
        <f t="shared" ca="1" si="460"/>
        <v>#N/A</v>
      </c>
      <c r="AD992" s="323" t="e">
        <f t="shared" ca="1" si="461"/>
        <v>#N/A</v>
      </c>
      <c r="AE992" s="324" t="e">
        <f t="shared" ca="1" si="440"/>
        <v>#N/A</v>
      </c>
      <c r="AG992" s="306">
        <f t="shared" ca="1" si="462"/>
        <v>1.7652682617192585</v>
      </c>
      <c r="AH992" s="304">
        <f t="shared" ca="1" si="463"/>
        <v>-8.031865546269513</v>
      </c>
    </row>
    <row r="993" spans="1:34" x14ac:dyDescent="0.2">
      <c r="A993" s="347">
        <f t="shared" ca="1" si="441"/>
        <v>1E-4</v>
      </c>
      <c r="B993" s="304">
        <f t="shared" ca="1" si="442"/>
        <v>39.423500000001027</v>
      </c>
      <c r="D993" s="306">
        <f t="shared" ca="1" si="443"/>
        <v>-0.41122360437014632</v>
      </c>
      <c r="E993" s="307">
        <f t="shared" ca="1" si="444"/>
        <v>-1.7886364999775548</v>
      </c>
      <c r="F993" s="304">
        <f t="shared" ca="1" si="445"/>
        <v>1.8352998070732562</v>
      </c>
      <c r="G993" s="306">
        <f t="shared" ca="1" si="446"/>
        <v>6.8403346485538998</v>
      </c>
      <c r="H993" s="307">
        <f t="shared" ca="1" si="447"/>
        <v>-133.42914537273646</v>
      </c>
      <c r="I993" s="304">
        <f t="shared" ca="1" si="448"/>
        <v>133.6043674922457</v>
      </c>
      <c r="J993" s="306">
        <f t="shared" ca="1" si="449"/>
        <v>539.267207314762</v>
      </c>
      <c r="K993" s="307">
        <f t="shared" ca="1" si="450"/>
        <v>-12.515006293616366</v>
      </c>
      <c r="L993" s="304">
        <f t="shared" ca="1" si="435"/>
        <v>539.41240833669349</v>
      </c>
      <c r="M993" s="306">
        <f t="shared" ca="1" si="451"/>
        <v>-1.5195754968715618</v>
      </c>
      <c r="N993" s="304">
        <f t="shared" ca="1" si="452"/>
        <v>-87.065262622235522</v>
      </c>
      <c r="P993" s="310">
        <f t="shared" ca="1" si="453"/>
        <v>23</v>
      </c>
      <c r="Q993" s="304">
        <f t="shared" ca="1" si="454"/>
        <v>0</v>
      </c>
      <c r="R993" s="306">
        <f t="shared" ca="1" si="455"/>
        <v>0</v>
      </c>
      <c r="S993" s="307">
        <f t="shared" ca="1" si="456"/>
        <v>6.8519999999999914</v>
      </c>
      <c r="T993" s="304">
        <f t="shared" ca="1" si="436"/>
        <v>67.218119999999914</v>
      </c>
      <c r="U993" s="311">
        <f t="shared" ca="1" si="437"/>
        <v>0</v>
      </c>
      <c r="V993" s="306">
        <f t="shared" ca="1" si="438"/>
        <v>1.2265340482021132</v>
      </c>
      <c r="W993" s="304">
        <f t="shared" ca="1" si="439"/>
        <v>55.034780446018445</v>
      </c>
      <c r="Y993" s="314" t="str">
        <f t="shared" ca="1" si="457"/>
        <v/>
      </c>
      <c r="Z993" s="315" t="str">
        <f t="shared" ca="1" si="458"/>
        <v/>
      </c>
      <c r="AA993" s="316" t="str">
        <f t="shared" ca="1" si="459"/>
        <v/>
      </c>
      <c r="AC993" s="310" t="e">
        <f t="shared" ca="1" si="460"/>
        <v>#N/A</v>
      </c>
      <c r="AD993" s="323" t="e">
        <f t="shared" ca="1" si="461"/>
        <v>#N/A</v>
      </c>
      <c r="AE993" s="324" t="e">
        <f t="shared" ca="1" si="440"/>
        <v>#N/A</v>
      </c>
      <c r="AG993" s="306">
        <f t="shared" ca="1" si="462"/>
        <v>1.7652365091460904</v>
      </c>
      <c r="AH993" s="304">
        <f t="shared" ca="1" si="463"/>
        <v>-8.0318974876602791</v>
      </c>
    </row>
    <row r="994" spans="1:34" x14ac:dyDescent="0.2">
      <c r="A994" s="347">
        <f t="shared" ca="1" si="441"/>
        <v>1E-4</v>
      </c>
      <c r="B994" s="304">
        <f t="shared" ca="1" si="442"/>
        <v>39.423600000001031</v>
      </c>
      <c r="D994" s="306">
        <f t="shared" ca="1" si="443"/>
        <v>-0.41122222422579308</v>
      </c>
      <c r="E994" s="307">
        <f t="shared" ca="1" si="444"/>
        <v>-1.7886044461548281</v>
      </c>
      <c r="F994" s="304">
        <f t="shared" ca="1" si="445"/>
        <v>1.8352682590024891</v>
      </c>
      <c r="G994" s="306">
        <f t="shared" ca="1" si="446"/>
        <v>6.840293526331477</v>
      </c>
      <c r="H994" s="307">
        <f t="shared" ca="1" si="447"/>
        <v>-133.42932423318106</v>
      </c>
      <c r="I994" s="304">
        <f t="shared" ca="1" si="448"/>
        <v>133.60454401273083</v>
      </c>
      <c r="J994" s="306">
        <f t="shared" ca="1" si="449"/>
        <v>539.267207314762</v>
      </c>
      <c r="K994" s="307">
        <f t="shared" ca="1" si="450"/>
        <v>-12.528349217096663</v>
      </c>
      <c r="L994" s="304">
        <f t="shared" ca="1" si="435"/>
        <v>539.41271807324677</v>
      </c>
      <c r="M994" s="306">
        <f t="shared" ca="1" si="451"/>
        <v>-1.5195758727993869</v>
      </c>
      <c r="N994" s="304">
        <f t="shared" ca="1" si="452"/>
        <v>-87.065284161313301</v>
      </c>
      <c r="P994" s="310">
        <f t="shared" ca="1" si="453"/>
        <v>23</v>
      </c>
      <c r="Q994" s="304">
        <f t="shared" ca="1" si="454"/>
        <v>0</v>
      </c>
      <c r="R994" s="306">
        <f t="shared" ca="1" si="455"/>
        <v>0</v>
      </c>
      <c r="S994" s="307">
        <f t="shared" ca="1" si="456"/>
        <v>6.8519999999999914</v>
      </c>
      <c r="T994" s="304">
        <f t="shared" ca="1" si="436"/>
        <v>67.218119999999914</v>
      </c>
      <c r="U994" s="311">
        <f t="shared" ca="1" si="437"/>
        <v>0</v>
      </c>
      <c r="V994" s="306">
        <f t="shared" ca="1" si="438"/>
        <v>1.2265356847588418</v>
      </c>
      <c r="W994" s="304">
        <f t="shared" ca="1" si="439"/>
        <v>55.034999304749554</v>
      </c>
      <c r="Y994" s="314" t="str">
        <f t="shared" ca="1" si="457"/>
        <v/>
      </c>
      <c r="Z994" s="315" t="str">
        <f t="shared" ca="1" si="458"/>
        <v/>
      </c>
      <c r="AA994" s="316" t="str">
        <f t="shared" ca="1" si="459"/>
        <v/>
      </c>
      <c r="AC994" s="310" t="e">
        <f t="shared" ca="1" si="460"/>
        <v>#N/A</v>
      </c>
      <c r="AD994" s="323" t="e">
        <f t="shared" ca="1" si="461"/>
        <v>#N/A</v>
      </c>
      <c r="AE994" s="324" t="e">
        <f t="shared" ca="1" si="440"/>
        <v>#N/A</v>
      </c>
      <c r="AG994" s="306">
        <f t="shared" ca="1" si="462"/>
        <v>1.765204756838326</v>
      </c>
      <c r="AH994" s="304">
        <f t="shared" ca="1" si="463"/>
        <v>-8.03192942878262</v>
      </c>
    </row>
    <row r="995" spans="1:34" x14ac:dyDescent="0.2">
      <c r="A995" s="347">
        <f t="shared" ca="1" si="441"/>
        <v>1E-4</v>
      </c>
      <c r="B995" s="304">
        <f t="shared" ca="1" si="442"/>
        <v>39.423700000001034</v>
      </c>
      <c r="D995" s="306">
        <f t="shared" ca="1" si="443"/>
        <v>-0.41122084406975085</v>
      </c>
      <c r="E995" s="307">
        <f t="shared" ca="1" si="444"/>
        <v>-1.7885723926014041</v>
      </c>
      <c r="F995" s="304">
        <f t="shared" ca="1" si="445"/>
        <v>1.8352367112101233</v>
      </c>
      <c r="G995" s="306">
        <f t="shared" ca="1" si="446"/>
        <v>6.84025240424707</v>
      </c>
      <c r="H995" s="307">
        <f t="shared" ca="1" si="447"/>
        <v>-133.42950309042033</v>
      </c>
      <c r="I995" s="304">
        <f t="shared" ca="1" si="448"/>
        <v>133.60472053004077</v>
      </c>
      <c r="J995" s="306">
        <f t="shared" ca="1" si="449"/>
        <v>539.267207314762</v>
      </c>
      <c r="K995" s="307">
        <f t="shared" ca="1" si="450"/>
        <v>-12.541692158462842</v>
      </c>
      <c r="L995" s="304">
        <f t="shared" ca="1" si="435"/>
        <v>539.41302814008873</v>
      </c>
      <c r="M995" s="306">
        <f t="shared" ca="1" si="451"/>
        <v>-1.5195762487239586</v>
      </c>
      <c r="N995" s="304">
        <f t="shared" ca="1" si="452"/>
        <v>-87.065305700204675</v>
      </c>
      <c r="P995" s="310">
        <f t="shared" ca="1" si="453"/>
        <v>23</v>
      </c>
      <c r="Q995" s="304">
        <f t="shared" ca="1" si="454"/>
        <v>0</v>
      </c>
      <c r="R995" s="306">
        <f t="shared" ca="1" si="455"/>
        <v>0</v>
      </c>
      <c r="S995" s="307">
        <f t="shared" ca="1" si="456"/>
        <v>6.8519999999999914</v>
      </c>
      <c r="T995" s="304">
        <f t="shared" ca="1" si="436"/>
        <v>67.218119999999914</v>
      </c>
      <c r="U995" s="311">
        <f t="shared" ca="1" si="437"/>
        <v>0</v>
      </c>
      <c r="V995" s="306">
        <f t="shared" ca="1" si="438"/>
        <v>1.2265373213199489</v>
      </c>
      <c r="W995" s="304">
        <f t="shared" ca="1" si="439"/>
        <v>55.035218161641474</v>
      </c>
      <c r="Y995" s="314" t="str">
        <f t="shared" ca="1" si="457"/>
        <v/>
      </c>
      <c r="Z995" s="315" t="str">
        <f t="shared" ca="1" si="458"/>
        <v/>
      </c>
      <c r="AA995" s="316" t="str">
        <f t="shared" ca="1" si="459"/>
        <v/>
      </c>
      <c r="AC995" s="310" t="e">
        <f t="shared" ca="1" si="460"/>
        <v>#N/A</v>
      </c>
      <c r="AD995" s="323" t="e">
        <f t="shared" ca="1" si="461"/>
        <v>#N/A</v>
      </c>
      <c r="AE995" s="324" t="e">
        <f t="shared" ca="1" si="440"/>
        <v>#N/A</v>
      </c>
      <c r="AG995" s="306">
        <f t="shared" ca="1" si="462"/>
        <v>1.76517300479596</v>
      </c>
      <c r="AH995" s="304">
        <f t="shared" ca="1" si="463"/>
        <v>-8.0319613696365479</v>
      </c>
    </row>
    <row r="996" spans="1:34" x14ac:dyDescent="0.2">
      <c r="A996" s="347">
        <f t="shared" ca="1" si="441"/>
        <v>1E-4</v>
      </c>
      <c r="B996" s="304">
        <f t="shared" ca="1" si="442"/>
        <v>39.423800000001037</v>
      </c>
      <c r="D996" s="306">
        <f t="shared" ca="1" si="443"/>
        <v>-0.41121946390202169</v>
      </c>
      <c r="E996" s="307">
        <f t="shared" ca="1" si="444"/>
        <v>-1.7885403393172883</v>
      </c>
      <c r="F996" s="304">
        <f t="shared" ca="1" si="445"/>
        <v>1.8352051636961648</v>
      </c>
      <c r="G996" s="306">
        <f t="shared" ca="1" si="446"/>
        <v>6.8402112823006798</v>
      </c>
      <c r="H996" s="307">
        <f t="shared" ca="1" si="447"/>
        <v>-133.42968194445425</v>
      </c>
      <c r="I996" s="304">
        <f t="shared" ca="1" si="448"/>
        <v>133.60489704417549</v>
      </c>
      <c r="J996" s="306">
        <f t="shared" ca="1" si="449"/>
        <v>539.267207314762</v>
      </c>
      <c r="K996" s="307">
        <f t="shared" ca="1" si="450"/>
        <v>-12.555035117714587</v>
      </c>
      <c r="L996" s="304">
        <f t="shared" ca="1" si="435"/>
        <v>539.41333853722006</v>
      </c>
      <c r="M996" s="306">
        <f t="shared" ca="1" si="451"/>
        <v>-1.5195766246452769</v>
      </c>
      <c r="N996" s="304">
        <f t="shared" ca="1" si="452"/>
        <v>-87.065327238909646</v>
      </c>
      <c r="P996" s="310">
        <f t="shared" ca="1" si="453"/>
        <v>23</v>
      </c>
      <c r="Q996" s="304">
        <f t="shared" ca="1" si="454"/>
        <v>0</v>
      </c>
      <c r="R996" s="306">
        <f t="shared" ca="1" si="455"/>
        <v>0</v>
      </c>
      <c r="S996" s="307">
        <f t="shared" ca="1" si="456"/>
        <v>6.8519999999999914</v>
      </c>
      <c r="T996" s="304">
        <f t="shared" ca="1" si="436"/>
        <v>67.218119999999914</v>
      </c>
      <c r="U996" s="311">
        <f t="shared" ca="1" si="437"/>
        <v>0</v>
      </c>
      <c r="V996" s="306">
        <f t="shared" ca="1" si="438"/>
        <v>1.2265389578854351</v>
      </c>
      <c r="W996" s="304">
        <f t="shared" ca="1" si="439"/>
        <v>55.035437016694182</v>
      </c>
      <c r="Y996" s="314" t="str">
        <f t="shared" ca="1" si="457"/>
        <v/>
      </c>
      <c r="Z996" s="315" t="str">
        <f t="shared" ca="1" si="458"/>
        <v/>
      </c>
      <c r="AA996" s="316" t="str">
        <f t="shared" ca="1" si="459"/>
        <v/>
      </c>
      <c r="AC996" s="310" t="e">
        <f t="shared" ca="1" si="460"/>
        <v>#N/A</v>
      </c>
      <c r="AD996" s="323" t="e">
        <f t="shared" ca="1" si="461"/>
        <v>#N/A</v>
      </c>
      <c r="AE996" s="324" t="e">
        <f t="shared" ca="1" si="440"/>
        <v>#N/A</v>
      </c>
      <c r="AG996" s="306">
        <f t="shared" ca="1" si="462"/>
        <v>1.7651412530189905</v>
      </c>
      <c r="AH996" s="304">
        <f t="shared" ca="1" si="463"/>
        <v>-8.0319933102220578</v>
      </c>
    </row>
    <row r="997" spans="1:34" x14ac:dyDescent="0.2">
      <c r="A997" s="347">
        <f t="shared" ca="1" si="441"/>
        <v>1E-4</v>
      </c>
      <c r="B997" s="304">
        <f t="shared" ca="1" si="442"/>
        <v>39.423900000001041</v>
      </c>
      <c r="D997" s="306">
        <f t="shared" ca="1" si="443"/>
        <v>-0.41121808372260621</v>
      </c>
      <c r="E997" s="307">
        <f t="shared" ca="1" si="444"/>
        <v>-1.7885082863024788</v>
      </c>
      <c r="F997" s="304">
        <f t="shared" ca="1" si="445"/>
        <v>1.8351736164606121</v>
      </c>
      <c r="G997" s="306">
        <f t="shared" ca="1" si="446"/>
        <v>6.8401701604923071</v>
      </c>
      <c r="H997" s="307">
        <f t="shared" ca="1" si="447"/>
        <v>-133.42986079528288</v>
      </c>
      <c r="I997" s="304">
        <f t="shared" ca="1" si="448"/>
        <v>133.60507355513508</v>
      </c>
      <c r="J997" s="306">
        <f t="shared" ca="1" si="449"/>
        <v>539.267207314762</v>
      </c>
      <c r="K997" s="307">
        <f t="shared" ca="1" si="450"/>
        <v>-12.568378094851573</v>
      </c>
      <c r="L997" s="304">
        <f t="shared" ca="1" si="435"/>
        <v>539.41364926464144</v>
      </c>
      <c r="M997" s="306">
        <f t="shared" ca="1" si="451"/>
        <v>-1.5195770005633422</v>
      </c>
      <c r="N997" s="304">
        <f t="shared" ca="1" si="452"/>
        <v>-87.065348777428227</v>
      </c>
      <c r="P997" s="310">
        <f t="shared" ca="1" si="453"/>
        <v>23</v>
      </c>
      <c r="Q997" s="304">
        <f t="shared" ca="1" si="454"/>
        <v>0</v>
      </c>
      <c r="R997" s="306">
        <f t="shared" ca="1" si="455"/>
        <v>0</v>
      </c>
      <c r="S997" s="307">
        <f t="shared" ca="1" si="456"/>
        <v>6.8519999999999914</v>
      </c>
      <c r="T997" s="304">
        <f t="shared" ca="1" si="436"/>
        <v>67.218119999999914</v>
      </c>
      <c r="U997" s="311">
        <f t="shared" ca="1" si="437"/>
        <v>0</v>
      </c>
      <c r="V997" s="306">
        <f t="shared" ca="1" si="438"/>
        <v>1.2265405944552998</v>
      </c>
      <c r="W997" s="304">
        <f t="shared" ca="1" si="439"/>
        <v>55.035655869907707</v>
      </c>
      <c r="Y997" s="314" t="str">
        <f t="shared" ca="1" si="457"/>
        <v/>
      </c>
      <c r="Z997" s="315" t="str">
        <f t="shared" ca="1" si="458"/>
        <v/>
      </c>
      <c r="AA997" s="316" t="str">
        <f t="shared" ca="1" si="459"/>
        <v/>
      </c>
      <c r="AC997" s="310" t="e">
        <f t="shared" ca="1" si="460"/>
        <v>#N/A</v>
      </c>
      <c r="AD997" s="323" t="e">
        <f t="shared" ca="1" si="461"/>
        <v>#N/A</v>
      </c>
      <c r="AE997" s="324" t="e">
        <f t="shared" ca="1" si="440"/>
        <v>#N/A</v>
      </c>
      <c r="AG997" s="306">
        <f t="shared" ca="1" si="462"/>
        <v>1.765109501507423</v>
      </c>
      <c r="AH997" s="304">
        <f t="shared" ca="1" si="463"/>
        <v>-8.0320252505391494</v>
      </c>
    </row>
    <row r="998" spans="1:34" x14ac:dyDescent="0.2">
      <c r="A998" s="347">
        <f t="shared" ca="1" si="441"/>
        <v>1E-4</v>
      </c>
      <c r="B998" s="304">
        <f t="shared" ca="1" si="442"/>
        <v>39.424000000001044</v>
      </c>
      <c r="D998" s="306">
        <f t="shared" ca="1" si="443"/>
        <v>-0.41121670353150153</v>
      </c>
      <c r="E998" s="307">
        <f t="shared" ca="1" si="444"/>
        <v>-1.7884762335569775</v>
      </c>
      <c r="F998" s="304">
        <f t="shared" ca="1" si="445"/>
        <v>1.8351420695034668</v>
      </c>
      <c r="G998" s="306">
        <f t="shared" ca="1" si="446"/>
        <v>6.8401290388219538</v>
      </c>
      <c r="H998" s="307">
        <f t="shared" ca="1" si="447"/>
        <v>-133.43003964290622</v>
      </c>
      <c r="I998" s="304">
        <f t="shared" ca="1" si="448"/>
        <v>133.60525006291954</v>
      </c>
      <c r="J998" s="306">
        <f t="shared" ca="1" si="449"/>
        <v>539.267207314762</v>
      </c>
      <c r="K998" s="307">
        <f t="shared" ca="1" si="450"/>
        <v>-12.581721089873483</v>
      </c>
      <c r="L998" s="304">
        <f t="shared" ca="1" si="435"/>
        <v>539.41396032235377</v>
      </c>
      <c r="M998" s="306">
        <f t="shared" ca="1" si="451"/>
        <v>-1.5195773764781542</v>
      </c>
      <c r="N998" s="304">
        <f t="shared" ca="1" si="452"/>
        <v>-87.065370315760404</v>
      </c>
      <c r="P998" s="310">
        <f t="shared" ca="1" si="453"/>
        <v>23</v>
      </c>
      <c r="Q998" s="304">
        <f t="shared" ca="1" si="454"/>
        <v>0</v>
      </c>
      <c r="R998" s="306">
        <f t="shared" ca="1" si="455"/>
        <v>0</v>
      </c>
      <c r="S998" s="307">
        <f t="shared" ca="1" si="456"/>
        <v>6.8519999999999914</v>
      </c>
      <c r="T998" s="304">
        <f t="shared" ca="1" si="436"/>
        <v>67.218119999999914</v>
      </c>
      <c r="U998" s="311">
        <f t="shared" ca="1" si="437"/>
        <v>0</v>
      </c>
      <c r="V998" s="306">
        <f t="shared" ca="1" si="438"/>
        <v>1.2265422310295433</v>
      </c>
      <c r="W998" s="304">
        <f t="shared" ca="1" si="439"/>
        <v>55.035874721282028</v>
      </c>
      <c r="Y998" s="314" t="str">
        <f t="shared" ca="1" si="457"/>
        <v/>
      </c>
      <c r="Z998" s="315" t="str">
        <f t="shared" ca="1" si="458"/>
        <v/>
      </c>
      <c r="AA998" s="316" t="str">
        <f t="shared" ca="1" si="459"/>
        <v/>
      </c>
      <c r="AC998" s="310" t="e">
        <f t="shared" ca="1" si="460"/>
        <v>#N/A</v>
      </c>
      <c r="AD998" s="323" t="e">
        <f t="shared" ca="1" si="461"/>
        <v>#N/A</v>
      </c>
      <c r="AE998" s="324" t="e">
        <f t="shared" ca="1" si="440"/>
        <v>#N/A</v>
      </c>
      <c r="AG998" s="306">
        <f t="shared" ca="1" si="462"/>
        <v>1.765077750261252</v>
      </c>
      <c r="AH998" s="304">
        <f t="shared" ca="1" si="463"/>
        <v>-8.0320571905878246</v>
      </c>
    </row>
    <row r="999" spans="1:34" x14ac:dyDescent="0.2">
      <c r="A999" s="347">
        <f t="shared" ca="1" si="441"/>
        <v>1E-4</v>
      </c>
      <c r="B999" s="304">
        <f t="shared" ca="1" si="442"/>
        <v>39.424100000001047</v>
      </c>
      <c r="D999" s="306">
        <f t="shared" ca="1" si="443"/>
        <v>-0.4112153233287118</v>
      </c>
      <c r="E999" s="307">
        <f t="shared" ca="1" si="444"/>
        <v>-1.7884441810807843</v>
      </c>
      <c r="F999" s="304">
        <f t="shared" ca="1" si="445"/>
        <v>1.8351105228247302</v>
      </c>
      <c r="G999" s="306">
        <f t="shared" ca="1" si="446"/>
        <v>6.8400879172896207</v>
      </c>
      <c r="H999" s="307">
        <f t="shared" ca="1" si="447"/>
        <v>-133.43021848732434</v>
      </c>
      <c r="I999" s="304">
        <f t="shared" ca="1" si="448"/>
        <v>133.60542656752892</v>
      </c>
      <c r="J999" s="306">
        <f t="shared" ca="1" si="449"/>
        <v>539.267207314762</v>
      </c>
      <c r="K999" s="307">
        <f t="shared" ca="1" si="450"/>
        <v>-12.595064102779995</v>
      </c>
      <c r="L999" s="304">
        <f t="shared" ca="1" si="435"/>
        <v>539.41427171035775</v>
      </c>
      <c r="M999" s="306">
        <f t="shared" ca="1" si="451"/>
        <v>-1.5195777523897129</v>
      </c>
      <c r="N999" s="304">
        <f t="shared" ca="1" si="452"/>
        <v>-87.065391853906192</v>
      </c>
      <c r="P999" s="310">
        <f t="shared" ca="1" si="453"/>
        <v>23</v>
      </c>
      <c r="Q999" s="304">
        <f t="shared" ca="1" si="454"/>
        <v>0</v>
      </c>
      <c r="R999" s="306">
        <f t="shared" ca="1" si="455"/>
        <v>0</v>
      </c>
      <c r="S999" s="307">
        <f t="shared" ca="1" si="456"/>
        <v>6.8519999999999914</v>
      </c>
      <c r="T999" s="304">
        <f t="shared" ca="1" si="436"/>
        <v>67.218119999999914</v>
      </c>
      <c r="U999" s="311">
        <f t="shared" ca="1" si="437"/>
        <v>0</v>
      </c>
      <c r="V999" s="306">
        <f t="shared" ca="1" si="438"/>
        <v>1.2265438676081653</v>
      </c>
      <c r="W999" s="304">
        <f t="shared" ca="1" si="439"/>
        <v>55.036093570817179</v>
      </c>
      <c r="Y999" s="314" t="str">
        <f t="shared" ca="1" si="457"/>
        <v/>
      </c>
      <c r="Z999" s="315" t="str">
        <f t="shared" ca="1" si="458"/>
        <v/>
      </c>
      <c r="AA999" s="316" t="str">
        <f t="shared" ca="1" si="459"/>
        <v/>
      </c>
      <c r="AC999" s="310" t="e">
        <f t="shared" ca="1" si="460"/>
        <v>#N/A</v>
      </c>
      <c r="AD999" s="323" t="e">
        <f t="shared" ca="1" si="461"/>
        <v>#N/A</v>
      </c>
      <c r="AE999" s="324" t="e">
        <f t="shared" ca="1" si="440"/>
        <v>#N/A</v>
      </c>
      <c r="AG999" s="306">
        <f t="shared" ca="1" si="462"/>
        <v>1.7650459992804812</v>
      </c>
      <c r="AH999" s="304">
        <f t="shared" ca="1" si="463"/>
        <v>-8.0320891303680817</v>
      </c>
    </row>
    <row r="1000" spans="1:34" x14ac:dyDescent="0.2">
      <c r="A1000" s="347">
        <f t="shared" ca="1" si="441"/>
        <v>1E-4</v>
      </c>
      <c r="B1000" s="304">
        <f t="shared" ca="1" si="442"/>
        <v>39.424200000001051</v>
      </c>
      <c r="D1000" s="306">
        <f t="shared" ca="1" si="443"/>
        <v>-0.41121394311423609</v>
      </c>
      <c r="E1000" s="307">
        <f t="shared" ca="1" si="444"/>
        <v>-1.7884121288738921</v>
      </c>
      <c r="F1000" s="304">
        <f t="shared" ca="1" si="445"/>
        <v>1.8350789764243949</v>
      </c>
      <c r="G1000" s="306">
        <f t="shared" ca="1" si="446"/>
        <v>6.8400467958953097</v>
      </c>
      <c r="H1000" s="307">
        <f t="shared" ca="1" si="447"/>
        <v>-133.43039732853723</v>
      </c>
      <c r="I1000" s="304">
        <f t="shared" ca="1" si="448"/>
        <v>133.60560306896321</v>
      </c>
      <c r="J1000" s="306">
        <f t="shared" ca="1" si="449"/>
        <v>539.267207314762</v>
      </c>
      <c r="K1000" s="307">
        <f t="shared" ca="1" si="450"/>
        <v>-12.608407133570788</v>
      </c>
      <c r="L1000" s="304">
        <f t="shared" ca="1" si="435"/>
        <v>539.41458342865405</v>
      </c>
      <c r="M1000" s="306">
        <f t="shared" ca="1" si="451"/>
        <v>-1.5195781282980187</v>
      </c>
      <c r="N1000" s="304">
        <f t="shared" ca="1" si="452"/>
        <v>-87.065413391865604</v>
      </c>
      <c r="P1000" s="310">
        <f t="shared" ca="1" si="453"/>
        <v>23</v>
      </c>
      <c r="Q1000" s="304">
        <f t="shared" ca="1" si="454"/>
        <v>0</v>
      </c>
      <c r="R1000" s="306">
        <f t="shared" ca="1" si="455"/>
        <v>0</v>
      </c>
      <c r="S1000" s="307">
        <f t="shared" ca="1" si="456"/>
        <v>6.8519999999999914</v>
      </c>
      <c r="T1000" s="304">
        <f t="shared" ca="1" si="436"/>
        <v>67.218119999999914</v>
      </c>
      <c r="U1000" s="311">
        <f t="shared" ca="1" si="437"/>
        <v>0</v>
      </c>
      <c r="V1000" s="306">
        <f t="shared" ca="1" si="438"/>
        <v>1.2265455041911661</v>
      </c>
      <c r="W1000" s="304">
        <f t="shared" ca="1" si="439"/>
        <v>55.03631241851312</v>
      </c>
      <c r="Y1000" s="314" t="str">
        <f t="shared" ca="1" si="457"/>
        <v/>
      </c>
      <c r="Z1000" s="315" t="str">
        <f t="shared" ca="1" si="458"/>
        <v/>
      </c>
      <c r="AA1000" s="316" t="str">
        <f t="shared" ca="1" si="459"/>
        <v/>
      </c>
      <c r="AC1000" s="310" t="e">
        <f t="shared" ca="1" si="460"/>
        <v>#N/A</v>
      </c>
      <c r="AD1000" s="323" t="e">
        <f t="shared" ca="1" si="461"/>
        <v>#N/A</v>
      </c>
      <c r="AE1000" s="324" t="e">
        <f t="shared" ca="1" si="440"/>
        <v>#N/A</v>
      </c>
      <c r="AG1000" s="306">
        <f t="shared" ca="1" si="462"/>
        <v>1.7650142485651052</v>
      </c>
      <c r="AH1000" s="304">
        <f t="shared" ca="1" si="463"/>
        <v>-8.0321210698799259</v>
      </c>
    </row>
    <row r="1001" spans="1:34" x14ac:dyDescent="0.2">
      <c r="A1001" s="347">
        <f t="shared" ca="1" si="441"/>
        <v>1E-4</v>
      </c>
      <c r="B1001" s="304">
        <f t="shared" ca="1" si="442"/>
        <v>39.424300000001054</v>
      </c>
      <c r="D1001" s="306">
        <f t="shared" ca="1" si="443"/>
        <v>-0.41121256288807284</v>
      </c>
      <c r="E1001" s="307">
        <f t="shared" ca="1" si="444"/>
        <v>-1.7883800769363116</v>
      </c>
      <c r="F1001" s="304">
        <f t="shared" ca="1" si="445"/>
        <v>1.835047430302472</v>
      </c>
      <c r="G1001" s="306">
        <f t="shared" ca="1" si="446"/>
        <v>6.8400056746390208</v>
      </c>
      <c r="H1001" s="307">
        <f t="shared" ca="1" si="447"/>
        <v>-133.43057616654491</v>
      </c>
      <c r="I1001" s="304">
        <f t="shared" ca="1" si="448"/>
        <v>133.60577956722244</v>
      </c>
      <c r="J1001" s="306">
        <f t="shared" ca="1" si="449"/>
        <v>539.267207314762</v>
      </c>
      <c r="K1001" s="307">
        <f t="shared" ca="1" si="450"/>
        <v>-12.621750182245542</v>
      </c>
      <c r="L1001" s="304">
        <f t="shared" ca="1" si="435"/>
        <v>539.41489547724348</v>
      </c>
      <c r="M1001" s="306">
        <f t="shared" ca="1" si="451"/>
        <v>-1.5195785042030714</v>
      </c>
      <c r="N1001" s="304">
        <f t="shared" ca="1" si="452"/>
        <v>-87.065434929638613</v>
      </c>
      <c r="P1001" s="310">
        <f t="shared" ca="1" si="453"/>
        <v>23</v>
      </c>
      <c r="Q1001" s="304">
        <f t="shared" ca="1" si="454"/>
        <v>0</v>
      </c>
      <c r="R1001" s="306">
        <f t="shared" ca="1" si="455"/>
        <v>0</v>
      </c>
      <c r="S1001" s="307">
        <f t="shared" ca="1" si="456"/>
        <v>6.8519999999999914</v>
      </c>
      <c r="T1001" s="304">
        <f t="shared" ca="1" si="436"/>
        <v>67.218119999999914</v>
      </c>
      <c r="U1001" s="311">
        <f t="shared" ca="1" si="437"/>
        <v>0</v>
      </c>
      <c r="V1001" s="306">
        <f t="shared" ca="1" si="438"/>
        <v>1.2265471407785453</v>
      </c>
      <c r="W1001" s="304">
        <f t="shared" ca="1" si="439"/>
        <v>55.036531264369877</v>
      </c>
      <c r="Y1001" s="314" t="str">
        <f t="shared" ca="1" si="457"/>
        <v/>
      </c>
      <c r="Z1001" s="315" t="str">
        <f t="shared" ca="1" si="458"/>
        <v/>
      </c>
      <c r="AA1001" s="316" t="str">
        <f t="shared" ca="1" si="459"/>
        <v/>
      </c>
      <c r="AC1001" s="310" t="e">
        <f t="shared" ca="1" si="460"/>
        <v>#N/A</v>
      </c>
      <c r="AD1001" s="323" t="e">
        <f t="shared" ca="1" si="461"/>
        <v>#N/A</v>
      </c>
      <c r="AE1001" s="324" t="e">
        <f t="shared" ca="1" si="440"/>
        <v>#N/A</v>
      </c>
      <c r="AG1001" s="306">
        <f t="shared" ca="1" si="462"/>
        <v>1.7649824981151347</v>
      </c>
      <c r="AH1001" s="304">
        <f t="shared" ca="1" si="463"/>
        <v>-8.0321530091233484</v>
      </c>
    </row>
    <row r="1002" spans="1:34" x14ac:dyDescent="0.2">
      <c r="A1002" s="347">
        <f t="shared" ca="1" si="441"/>
        <v>1E-4</v>
      </c>
      <c r="B1002" s="304">
        <f t="shared" ca="1" si="442"/>
        <v>39.424400000001057</v>
      </c>
      <c r="D1002" s="306">
        <f t="shared" ca="1" si="443"/>
        <v>-0.41121118265022477</v>
      </c>
      <c r="E1002" s="307">
        <f t="shared" ca="1" si="444"/>
        <v>-1.7883480252680357</v>
      </c>
      <c r="F1002" s="304">
        <f t="shared" ca="1" si="445"/>
        <v>1.8350158844589546</v>
      </c>
      <c r="G1002" s="306">
        <f t="shared" ca="1" si="446"/>
        <v>6.8399645535207556</v>
      </c>
      <c r="H1002" s="307">
        <f t="shared" ca="1" si="447"/>
        <v>-133.43075500134745</v>
      </c>
      <c r="I1002" s="304">
        <f t="shared" ca="1" si="448"/>
        <v>133.60595606230672</v>
      </c>
      <c r="J1002" s="306">
        <f t="shared" ca="1" si="449"/>
        <v>539.267207314762</v>
      </c>
      <c r="K1002" s="307">
        <f t="shared" ca="1" si="450"/>
        <v>-12.635093248803937</v>
      </c>
      <c r="L1002" s="304">
        <f t="shared" ca="1" si="435"/>
        <v>539.41520785612681</v>
      </c>
      <c r="M1002" s="306">
        <f t="shared" ca="1" si="451"/>
        <v>-1.5195788801048709</v>
      </c>
      <c r="N1002" s="304">
        <f t="shared" ca="1" si="452"/>
        <v>-87.065456467225232</v>
      </c>
      <c r="P1002" s="310">
        <f t="shared" ca="1" si="453"/>
        <v>23</v>
      </c>
      <c r="Q1002" s="304">
        <f t="shared" ca="1" si="454"/>
        <v>0</v>
      </c>
      <c r="R1002" s="306">
        <f t="shared" ca="1" si="455"/>
        <v>0</v>
      </c>
      <c r="S1002" s="307">
        <f t="shared" ca="1" si="456"/>
        <v>6.8519999999999914</v>
      </c>
      <c r="T1002" s="304">
        <f t="shared" ca="1" si="436"/>
        <v>67.218119999999914</v>
      </c>
      <c r="U1002" s="311">
        <f t="shared" ca="1" si="437"/>
        <v>0</v>
      </c>
      <c r="V1002" s="306">
        <f t="shared" ca="1" si="438"/>
        <v>1.2265487773703032</v>
      </c>
      <c r="W1002" s="304">
        <f t="shared" ca="1" si="439"/>
        <v>55.036750108387501</v>
      </c>
      <c r="Y1002" s="314" t="str">
        <f t="shared" ca="1" si="457"/>
        <v/>
      </c>
      <c r="Z1002" s="315" t="str">
        <f t="shared" ca="1" si="458"/>
        <v/>
      </c>
      <c r="AA1002" s="316" t="str">
        <f t="shared" ca="1" si="459"/>
        <v/>
      </c>
      <c r="AC1002" s="310" t="e">
        <f t="shared" ca="1" si="460"/>
        <v>#N/A</v>
      </c>
      <c r="AD1002" s="323" t="e">
        <f t="shared" ca="1" si="461"/>
        <v>#N/A</v>
      </c>
      <c r="AE1002" s="324" t="e">
        <f t="shared" ca="1" si="440"/>
        <v>#N/A</v>
      </c>
      <c r="AG1002" s="306">
        <f t="shared" ca="1" si="462"/>
        <v>1.7649507479305555</v>
      </c>
      <c r="AH1002" s="304">
        <f t="shared" ca="1" si="463"/>
        <v>-8.032184948098358</v>
      </c>
    </row>
    <row r="1003" spans="1:34" x14ac:dyDescent="0.2">
      <c r="A1003" s="347">
        <f t="shared" ca="1" si="441"/>
        <v>1E-4</v>
      </c>
      <c r="B1003" s="304">
        <f t="shared" ca="1" si="442"/>
        <v>39.424500000001061</v>
      </c>
      <c r="D1003" s="306">
        <f t="shared" ca="1" si="443"/>
        <v>-0.41120980240069283</v>
      </c>
      <c r="E1003" s="307">
        <f t="shared" ca="1" si="444"/>
        <v>-1.7883159738690591</v>
      </c>
      <c r="F1003" s="304">
        <f t="shared" ca="1" si="445"/>
        <v>1.8349843388938387</v>
      </c>
      <c r="G1003" s="306">
        <f t="shared" ca="1" si="446"/>
        <v>6.8399234325405152</v>
      </c>
      <c r="H1003" s="307">
        <f t="shared" ca="1" si="447"/>
        <v>-133.43093383294485</v>
      </c>
      <c r="I1003" s="304">
        <f t="shared" ca="1" si="448"/>
        <v>133.60613255421595</v>
      </c>
      <c r="J1003" s="306">
        <f t="shared" ca="1" si="449"/>
        <v>539.267207314762</v>
      </c>
      <c r="K1003" s="307">
        <f t="shared" ca="1" si="450"/>
        <v>-12.648436333245652</v>
      </c>
      <c r="L1003" s="304">
        <f t="shared" ca="1" si="435"/>
        <v>539.41552056530475</v>
      </c>
      <c r="M1003" s="306">
        <f t="shared" ca="1" si="451"/>
        <v>-1.5195792560034176</v>
      </c>
      <c r="N1003" s="304">
        <f t="shared" ca="1" si="452"/>
        <v>-87.06547800462549</v>
      </c>
      <c r="P1003" s="310">
        <f t="shared" ca="1" si="453"/>
        <v>23</v>
      </c>
      <c r="Q1003" s="304">
        <f t="shared" ca="1" si="454"/>
        <v>0</v>
      </c>
      <c r="R1003" s="306">
        <f t="shared" ca="1" si="455"/>
        <v>0</v>
      </c>
      <c r="S1003" s="307">
        <f t="shared" ca="1" si="456"/>
        <v>6.8519999999999914</v>
      </c>
      <c r="T1003" s="304">
        <f t="shared" ca="1" si="436"/>
        <v>67.218119999999914</v>
      </c>
      <c r="U1003" s="311">
        <f t="shared" ca="1" si="437"/>
        <v>0</v>
      </c>
      <c r="V1003" s="306">
        <f ca="1">Rho_moyen*(20000-Alt_rampe-pos_z)/(20000+Alt_rampe+pos_z)</f>
        <v>1.22655041396644</v>
      </c>
      <c r="W1003" s="304">
        <f t="shared" ca="1" si="439"/>
        <v>55.0369689505659</v>
      </c>
      <c r="Y1003" s="314" t="str">
        <f t="shared" ca="1" si="457"/>
        <v/>
      </c>
      <c r="Z1003" s="315" t="str">
        <f t="shared" ca="1" si="458"/>
        <v/>
      </c>
      <c r="AA1003" s="316" t="str">
        <f t="shared" ca="1" si="459"/>
        <v/>
      </c>
      <c r="AC1003" s="310" t="e">
        <f t="shared" ca="1" si="460"/>
        <v>#N/A</v>
      </c>
      <c r="AD1003" s="323" t="e">
        <f t="shared" ca="1" si="461"/>
        <v>#N/A</v>
      </c>
      <c r="AE1003" s="324" t="e">
        <f t="shared" ca="1" si="440"/>
        <v>#N/A</v>
      </c>
      <c r="AG1003" s="306">
        <f t="shared" ca="1" si="462"/>
        <v>1.7649189980113693</v>
      </c>
      <c r="AH1003" s="304">
        <f t="shared" ca="1" si="463"/>
        <v>-8.0322168868049584</v>
      </c>
    </row>
    <row r="1004" spans="1:34" x14ac:dyDescent="0.2">
      <c r="A1004" s="348">
        <f t="shared" ca="1" si="441"/>
        <v>1E-4</v>
      </c>
      <c r="B1004" s="305">
        <f t="shared" ca="1" si="442"/>
        <v>39.424600000001064</v>
      </c>
      <c r="D1004" s="308">
        <f t="shared" ca="1" si="443"/>
        <v>-0.41120842213947323</v>
      </c>
      <c r="E1004" s="309">
        <f t="shared" ca="1" si="444"/>
        <v>-1.7882839227393941</v>
      </c>
      <c r="F1004" s="305">
        <f t="shared" ca="1" si="445"/>
        <v>1.8349527936071353</v>
      </c>
      <c r="G1004" s="308">
        <f t="shared" ca="1" si="446"/>
        <v>6.8398823116983012</v>
      </c>
      <c r="H1004" s="309">
        <f t="shared" ca="1" si="447"/>
        <v>-133.43111266133712</v>
      </c>
      <c r="I1004" s="305">
        <f t="shared" ca="1" si="448"/>
        <v>133.60630904295022</v>
      </c>
      <c r="J1004" s="308">
        <f t="shared" ca="1" si="449"/>
        <v>539.267207314762</v>
      </c>
      <c r="K1004" s="309">
        <f t="shared" ca="1" si="450"/>
        <v>-12.661779435570367</v>
      </c>
      <c r="L1004" s="305">
        <f t="shared" ca="1" si="435"/>
        <v>539.41583360477796</v>
      </c>
      <c r="M1004" s="308">
        <f t="shared" ca="1" si="451"/>
        <v>-1.5195796318987111</v>
      </c>
      <c r="N1004" s="305">
        <f t="shared" ca="1" si="452"/>
        <v>-87.065499541839358</v>
      </c>
      <c r="P1004" s="312">
        <f t="shared" ca="1" si="453"/>
        <v>23</v>
      </c>
      <c r="Q1004" s="305">
        <f t="shared" ca="1" si="454"/>
        <v>0</v>
      </c>
      <c r="R1004" s="308">
        <f t="shared" ca="1" si="455"/>
        <v>0</v>
      </c>
      <c r="S1004" s="309">
        <f t="shared" ca="1" si="456"/>
        <v>6.8519999999999914</v>
      </c>
      <c r="T1004" s="305">
        <f t="shared" ca="1" si="436"/>
        <v>67.218119999999914</v>
      </c>
      <c r="U1004" s="313">
        <f t="shared" ca="1" si="437"/>
        <v>0</v>
      </c>
      <c r="V1004" s="308">
        <f t="shared" ca="1" si="438"/>
        <v>1.2265520505669549</v>
      </c>
      <c r="W1004" s="305">
        <f ca="1">1/2*Rho*Sref*Cx*vit_xz^2</f>
        <v>55.037187790905115</v>
      </c>
      <c r="Y1004" s="317" t="str">
        <f ca="1">IF(AND(pos_z&lt;=0,K1003&gt;0),"Impact balistique","") &amp; IF(AND(H1005&lt;0,vit_z&gt;=0),"Apogée","") &amp; IF(AND(Poussee=0,Q1003&gt;0),"Fin de propulsion","") &amp; IF(AND(L1005&gt;L_rampe,pos_xz&lt;=L_rampe),"Sortie de rampe","")</f>
        <v/>
      </c>
      <c r="Z1004" s="318" t="str">
        <f t="shared" ca="1" si="458"/>
        <v/>
      </c>
      <c r="AA1004" s="319" t="str">
        <f t="shared" ca="1" si="459"/>
        <v/>
      </c>
      <c r="AC1004" s="312" t="e">
        <f t="shared" ca="1" si="460"/>
        <v>#N/A</v>
      </c>
      <c r="AD1004" s="325" t="e">
        <f t="shared" ca="1" si="461"/>
        <v>#N/A</v>
      </c>
      <c r="AE1004" s="326" t="e">
        <f t="shared" ca="1" si="440"/>
        <v>#N/A</v>
      </c>
      <c r="AG1004" s="308">
        <f t="shared" ca="1" si="462"/>
        <v>1.7648872483575868</v>
      </c>
      <c r="AH1004" s="305">
        <f t="shared" ca="1" si="463"/>
        <v>-8.0322488252431352</v>
      </c>
    </row>
    <row r="1005" spans="1:34" x14ac:dyDescent="0.2">
      <c r="Y1005" s="303"/>
    </row>
    <row r="1010" spans="12:12" x14ac:dyDescent="0.2">
      <c r="L1010"/>
    </row>
    <row r="1034" spans="5:25" x14ac:dyDescent="0.2">
      <c r="E1034" s="300" t="s">
        <v>255</v>
      </c>
      <c r="J1034" s="301" t="s">
        <v>247</v>
      </c>
      <c r="T1034" s="300" t="s">
        <v>246</v>
      </c>
      <c r="Y1034" s="302" t="s">
        <v>249</v>
      </c>
    </row>
    <row r="1035" spans="5:25" x14ac:dyDescent="0.2">
      <c r="E1035" s="299" t="s">
        <v>259</v>
      </c>
    </row>
    <row r="1036" spans="5:25" x14ac:dyDescent="0.2">
      <c r="E1036" s="299"/>
      <c r="T1036" s="299" t="s">
        <v>252</v>
      </c>
    </row>
    <row r="1037" spans="5:25" x14ac:dyDescent="0.2">
      <c r="E1037" s="299"/>
      <c r="T1037" s="299" t="s">
        <v>256</v>
      </c>
    </row>
    <row r="1038" spans="5:25" x14ac:dyDescent="0.2">
      <c r="E1038" s="299"/>
      <c r="T1038" s="299" t="s">
        <v>257</v>
      </c>
    </row>
    <row r="1039" spans="5:25" x14ac:dyDescent="0.2">
      <c r="E1039" s="299"/>
      <c r="T1039" s="299" t="s">
        <v>263</v>
      </c>
    </row>
    <row r="1040" spans="5:25" x14ac:dyDescent="0.2">
      <c r="E1040" s="299" t="s">
        <v>258</v>
      </c>
      <c r="T1040" s="299" t="s">
        <v>248</v>
      </c>
    </row>
    <row r="1041" spans="5:20" x14ac:dyDescent="0.2">
      <c r="E1041" s="299"/>
      <c r="T1041" s="299" t="s">
        <v>264</v>
      </c>
    </row>
    <row r="1042" spans="5:20" x14ac:dyDescent="0.2">
      <c r="E1042" s="299"/>
      <c r="R1042" s="303"/>
      <c r="T1042" s="299"/>
    </row>
    <row r="1043" spans="5:20" x14ac:dyDescent="0.2">
      <c r="E1043" s="299"/>
    </row>
    <row r="1044" spans="5:20" x14ac:dyDescent="0.2">
      <c r="E1044" s="299"/>
    </row>
    <row r="1045" spans="5:20" x14ac:dyDescent="0.2">
      <c r="E1045" s="299" t="s">
        <v>261</v>
      </c>
      <c r="R1045" s="303"/>
      <c r="T1045" s="299"/>
    </row>
    <row r="1046" spans="5:20" x14ac:dyDescent="0.2">
      <c r="E1046" s="299"/>
    </row>
    <row r="1047" spans="5:20" x14ac:dyDescent="0.2">
      <c r="E1047" s="299"/>
    </row>
    <row r="1048" spans="5:20" x14ac:dyDescent="0.2">
      <c r="E1048" s="299"/>
      <c r="T1048" s="298" t="s">
        <v>254</v>
      </c>
    </row>
    <row r="1049" spans="5:20" x14ac:dyDescent="0.2">
      <c r="E1049" s="299"/>
    </row>
    <row r="1050" spans="5:20" x14ac:dyDescent="0.2">
      <c r="E1050" s="299" t="s">
        <v>262</v>
      </c>
    </row>
    <row r="1053" spans="5:20" x14ac:dyDescent="0.2">
      <c r="T1053" s="298" t="s">
        <v>267</v>
      </c>
    </row>
    <row r="1055" spans="5:20" x14ac:dyDescent="0.2">
      <c r="E1055" s="299" t="s">
        <v>251</v>
      </c>
    </row>
    <row r="1058" spans="5:20" x14ac:dyDescent="0.2">
      <c r="T1058" s="299" t="s">
        <v>268</v>
      </c>
    </row>
    <row r="1060" spans="5:20" x14ac:dyDescent="0.2">
      <c r="E1060" s="299" t="s">
        <v>260</v>
      </c>
    </row>
    <row r="1061" spans="5:20" x14ac:dyDescent="0.2">
      <c r="E1061" s="299"/>
    </row>
    <row r="1062" spans="5:20" x14ac:dyDescent="0.2">
      <c r="E1062" s="299"/>
    </row>
    <row r="1063" spans="5:20" x14ac:dyDescent="0.2">
      <c r="E1063" s="299"/>
    </row>
    <row r="1064" spans="5:20" x14ac:dyDescent="0.2">
      <c r="E1064" s="299"/>
    </row>
    <row r="1065" spans="5:20" x14ac:dyDescent="0.2">
      <c r="E1065" s="299" t="s">
        <v>250</v>
      </c>
    </row>
    <row r="1066" spans="5:20" x14ac:dyDescent="0.2">
      <c r="E1066" s="299"/>
    </row>
    <row r="1067" spans="5:20" x14ac:dyDescent="0.2">
      <c r="E1067" s="299"/>
    </row>
    <row r="1068" spans="5:20" x14ac:dyDescent="0.2">
      <c r="E1068" s="299"/>
    </row>
    <row r="1069" spans="5:20" x14ac:dyDescent="0.2">
      <c r="E1069" s="299"/>
    </row>
    <row r="1070" spans="5:20" x14ac:dyDescent="0.2">
      <c r="E1070" s="299" t="s">
        <v>253</v>
      </c>
    </row>
    <row r="1071" spans="5:20" x14ac:dyDescent="0.2">
      <c r="E1071" s="299"/>
    </row>
    <row r="1072" spans="5:20" x14ac:dyDescent="0.2">
      <c r="E1072" s="299"/>
    </row>
    <row r="1073" spans="5:5" x14ac:dyDescent="0.2">
      <c r="E1073" s="299"/>
    </row>
    <row r="1074" spans="5:5" x14ac:dyDescent="0.2">
      <c r="E1074" s="299"/>
    </row>
    <row r="1075" spans="5:5" x14ac:dyDescent="0.2">
      <c r="E1075" s="299" t="s">
        <v>265</v>
      </c>
    </row>
  </sheetData>
  <sheetProtection password="C6AC" sheet="1"/>
  <mergeCells count="5">
    <mergeCell ref="D1:N1"/>
    <mergeCell ref="P1:W1"/>
    <mergeCell ref="AG1:AH1"/>
    <mergeCell ref="Y2:AA2"/>
    <mergeCell ref="AC1:AE1"/>
  </mergeCells>
  <phoneticPr fontId="8" type="noConversion"/>
  <conditionalFormatting sqref="A4:XFD1004">
    <cfRule type="expression" dxfId="5" priority="7" stopIfTrue="1">
      <formula>OR($Y4="Sortie de rampe",$Z4="Para")</formula>
    </cfRule>
    <cfRule type="expression" dxfId="4" priority="8" stopIfTrue="1">
      <formula>OR($Y4="Fin de propulsion",$Y4="Impact balistique",$AA4="Satellite")</formula>
    </cfRule>
    <cfRule type="expression" dxfId="3" priority="9" stopIfTrue="1">
      <formula>$Y4="Apogée"</formula>
    </cfRule>
  </conditionalFormatting>
  <hyperlinks>
    <hyperlink ref="J1034" r:id="rId1" xr:uid="{00000000-0004-0000-0400-000000000000}"/>
    <hyperlink ref="Y1034" r:id="rId2" xr:uid="{00000000-0004-0000-0400-000001000000}"/>
  </hyperlinks>
  <pageMargins left="0.39370078740157483" right="0.39370078740157483" top="0.39370078740157483" bottom="0.39370078740157483" header="0" footer="0"/>
  <pageSetup paperSize="9" scale="29" firstPageNumber="0" fitToHeight="5" orientation="portrait" horizontalDpi="300" verticalDpi="300" r:id="rId3"/>
  <headerFooter alignWithMargins="0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8">
    <pageSetUpPr fitToPage="1"/>
  </sheetPr>
  <dimension ref="A1:M79"/>
  <sheetViews>
    <sheetView showGridLines="0" workbookViewId="0">
      <selection activeCell="B80" sqref="B80"/>
    </sheetView>
  </sheetViews>
  <sheetFormatPr baseColWidth="10" defaultRowHeight="12.75" x14ac:dyDescent="0.2"/>
  <cols>
    <col min="1" max="1" width="2.140625" customWidth="1"/>
    <col min="2" max="2" width="16.28515625" customWidth="1"/>
    <col min="3" max="4" width="11.42578125" customWidth="1"/>
  </cols>
  <sheetData>
    <row r="1" spans="1:13" x14ac:dyDescent="0.2">
      <c r="A1" s="51"/>
      <c r="B1" s="52"/>
      <c r="C1" s="53"/>
      <c r="D1" s="52"/>
      <c r="E1" s="72"/>
      <c r="F1" s="72"/>
      <c r="G1" s="72"/>
      <c r="H1" s="72"/>
      <c r="I1" s="72"/>
      <c r="J1" s="72"/>
      <c r="K1" s="72"/>
      <c r="L1" s="72"/>
      <c r="M1" s="73"/>
    </row>
    <row r="2" spans="1:13" ht="12.75" customHeight="1" x14ac:dyDescent="0.2">
      <c r="A2" s="56"/>
      <c r="B2" s="2"/>
      <c r="C2" s="591" t="s">
        <v>280</v>
      </c>
      <c r="D2" s="591"/>
      <c r="M2" s="75"/>
    </row>
    <row r="3" spans="1:13" ht="12.75" customHeight="1" x14ac:dyDescent="0.2">
      <c r="A3" s="56"/>
      <c r="B3" s="2"/>
      <c r="C3" s="591"/>
      <c r="D3" s="591"/>
      <c r="M3" s="75"/>
    </row>
    <row r="4" spans="1:13" x14ac:dyDescent="0.2">
      <c r="A4" s="56"/>
      <c r="B4" s="2"/>
      <c r="C4" s="595" t="str">
        <f>IF(Lang="Français","Abaques de performance",IF(Lang="English","Performance charts",""))</f>
        <v>Abaques de performance</v>
      </c>
      <c r="D4" s="595"/>
      <c r="M4" s="75"/>
    </row>
    <row r="5" spans="1:13" x14ac:dyDescent="0.2">
      <c r="A5" s="56"/>
      <c r="B5" s="2"/>
      <c r="C5" s="595" t="str">
        <f>IF(Lang="Français","Calcul analytique simple",IF(Lang="English","Analytical computation",""))</f>
        <v>Calcul analytique simple</v>
      </c>
      <c r="D5" s="595"/>
      <c r="M5" s="75"/>
    </row>
    <row r="6" spans="1:13" x14ac:dyDescent="0.2">
      <c r="A6" s="56"/>
      <c r="B6" s="87"/>
      <c r="C6" s="1"/>
      <c r="D6" s="1"/>
      <c r="M6" s="75"/>
    </row>
    <row r="7" spans="1:13" x14ac:dyDescent="0.2">
      <c r="A7" s="59"/>
      <c r="B7" s="6"/>
      <c r="C7" s="592" t="str">
        <f>IF(Lang="Français","Fusée",IF(Lang="English","Rocket",""))</f>
        <v>Fusée</v>
      </c>
      <c r="D7" s="592"/>
      <c r="M7" s="75"/>
    </row>
    <row r="8" spans="1:13" ht="15.75" x14ac:dyDescent="0.25">
      <c r="A8" s="59"/>
      <c r="B8" s="140" t="str">
        <f>IF(Lang="Français","Nom",IF(Lang="English","Name",""))</f>
        <v>Nom</v>
      </c>
      <c r="C8" s="593" t="str">
        <f>Nom</f>
        <v xml:space="preserve">SP-02 </v>
      </c>
      <c r="D8" s="593"/>
      <c r="M8" s="75"/>
    </row>
    <row r="9" spans="1:13" ht="15.75" x14ac:dyDescent="0.25">
      <c r="A9" s="59"/>
      <c r="B9" s="140" t="s">
        <v>4</v>
      </c>
      <c r="C9" s="593" t="str">
        <f>Club</f>
        <v>Aeroipsa</v>
      </c>
      <c r="D9" s="593"/>
      <c r="M9" s="75"/>
    </row>
    <row r="10" spans="1:13" x14ac:dyDescent="0.2">
      <c r="A10" s="59"/>
      <c r="B10" s="140" t="str">
        <f>IF(Lang="Français","Masse sans propu",IF(Lang="English","Mass without M",""))</f>
        <v>Masse sans propu</v>
      </c>
      <c r="C10" s="654">
        <f>MasseSans</f>
        <v>6.2</v>
      </c>
      <c r="D10" s="654"/>
      <c r="M10" s="75"/>
    </row>
    <row r="11" spans="1:13" x14ac:dyDescent="0.2">
      <c r="A11" s="59"/>
      <c r="B11" s="140" t="str">
        <f>IF(Lang="Français","Masse totale",IF(Lang="English","Total mass",""))</f>
        <v>Masse totale</v>
      </c>
      <c r="C11" s="657" t="str">
        <f ca="1">MassePlein &amp; " kg ±" &amp; MasseSans &amp; " kg"</f>
        <v>7,885 kg ±6,2 kg</v>
      </c>
      <c r="D11" s="657"/>
      <c r="M11" s="75"/>
    </row>
    <row r="12" spans="1:13" x14ac:dyDescent="0.2">
      <c r="A12" s="59"/>
      <c r="B12" s="227" t="str">
        <f>IF(Lang="Français","Propulseur",IF(Lang="English","Motor",""))</f>
        <v>Propulseur</v>
      </c>
      <c r="C12" s="620" t="str">
        <f>Propu</f>
        <v>Barasinga (Pro54-5G C)</v>
      </c>
      <c r="D12" s="621"/>
      <c r="M12" s="75"/>
    </row>
    <row r="13" spans="1:13" x14ac:dyDescent="0.2">
      <c r="A13" s="59"/>
      <c r="B13" s="1"/>
      <c r="C13" s="1"/>
      <c r="D13" s="1"/>
      <c r="M13" s="75"/>
    </row>
    <row r="14" spans="1:13" x14ac:dyDescent="0.2">
      <c r="A14" s="74"/>
      <c r="C14" s="592" t="str">
        <f>IF(Lang="Français","Traînée Aérdynamique",IF(Lang="English","Drag",""))</f>
        <v>Traînée Aérdynamique</v>
      </c>
      <c r="D14" s="592"/>
      <c r="M14" s="75"/>
    </row>
    <row r="15" spans="1:13" x14ac:dyDescent="0.2">
      <c r="A15" s="74"/>
      <c r="B15" s="139" t="str">
        <f>IF(Lang="Français","Diamètre Ø",IF(Lang="English","Diameter Ø",""))</f>
        <v>Diamètre Ø</v>
      </c>
      <c r="C15" s="655">
        <f>D_ref</f>
        <v>104</v>
      </c>
      <c r="D15" s="655"/>
      <c r="M15" s="75"/>
    </row>
    <row r="16" spans="1:13" x14ac:dyDescent="0.2">
      <c r="A16" s="74"/>
      <c r="B16" s="140" t="s">
        <v>5</v>
      </c>
      <c r="C16" s="656">
        <f>Cx</f>
        <v>0.5</v>
      </c>
      <c r="D16" s="656"/>
      <c r="M16" s="75"/>
    </row>
    <row r="17" spans="1:13" x14ac:dyDescent="0.2">
      <c r="A17" s="74"/>
      <c r="M17" s="75"/>
    </row>
    <row r="18" spans="1:13" x14ac:dyDescent="0.2">
      <c r="A18" s="74"/>
      <c r="M18" s="75"/>
    </row>
    <row r="19" spans="1:13" x14ac:dyDescent="0.2">
      <c r="A19" s="74"/>
      <c r="M19" s="75"/>
    </row>
    <row r="20" spans="1:13" x14ac:dyDescent="0.2">
      <c r="A20" s="74"/>
      <c r="M20" s="75"/>
    </row>
    <row r="21" spans="1:13" x14ac:dyDescent="0.2">
      <c r="A21" s="74"/>
      <c r="M21" s="75"/>
    </row>
    <row r="22" spans="1:13" x14ac:dyDescent="0.2">
      <c r="A22" s="74"/>
      <c r="M22" s="75"/>
    </row>
    <row r="23" spans="1:13" x14ac:dyDescent="0.2">
      <c r="A23" s="74"/>
      <c r="M23" s="75"/>
    </row>
    <row r="24" spans="1:13" x14ac:dyDescent="0.2">
      <c r="A24" s="74"/>
      <c r="M24" s="75"/>
    </row>
    <row r="25" spans="1:13" x14ac:dyDescent="0.2">
      <c r="A25" s="74"/>
      <c r="M25" s="75"/>
    </row>
    <row r="26" spans="1:13" x14ac:dyDescent="0.2">
      <c r="A26" s="74"/>
      <c r="M26" s="75"/>
    </row>
    <row r="27" spans="1:13" x14ac:dyDescent="0.2">
      <c r="A27" s="74"/>
      <c r="M27" s="75"/>
    </row>
    <row r="28" spans="1:13" x14ac:dyDescent="0.2">
      <c r="A28" s="74"/>
      <c r="M28" s="75"/>
    </row>
    <row r="29" spans="1:13" x14ac:dyDescent="0.2">
      <c r="A29" s="74"/>
      <c r="M29" s="75"/>
    </row>
    <row r="30" spans="1:13" x14ac:dyDescent="0.2">
      <c r="A30" s="74"/>
      <c r="M30" s="75"/>
    </row>
    <row r="31" spans="1:13" x14ac:dyDescent="0.2">
      <c r="A31" s="74"/>
      <c r="M31" s="75"/>
    </row>
    <row r="32" spans="1:13" x14ac:dyDescent="0.2">
      <c r="A32" s="74"/>
      <c r="M32" s="75"/>
    </row>
    <row r="33" spans="1:13" x14ac:dyDescent="0.2">
      <c r="A33" s="74"/>
      <c r="M33" s="75"/>
    </row>
    <row r="34" spans="1:13" x14ac:dyDescent="0.2">
      <c r="A34" s="74"/>
      <c r="M34" s="75"/>
    </row>
    <row r="35" spans="1:13" ht="13.5" thickBot="1" x14ac:dyDescent="0.25">
      <c r="A35" s="77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9"/>
    </row>
    <row r="39" spans="1:13" x14ac:dyDescent="0.2">
      <c r="B39" s="419" t="s">
        <v>62</v>
      </c>
      <c r="C39" s="170" t="s">
        <v>284</v>
      </c>
      <c r="D39" s="134" t="s">
        <v>281</v>
      </c>
      <c r="E39" s="134" t="s">
        <v>285</v>
      </c>
      <c r="F39" s="134" t="s">
        <v>286</v>
      </c>
      <c r="G39" s="134" t="s">
        <v>13</v>
      </c>
      <c r="H39" s="134" t="s">
        <v>282</v>
      </c>
      <c r="I39" s="134" t="s">
        <v>283</v>
      </c>
      <c r="J39" s="134" t="s">
        <v>298</v>
      </c>
      <c r="K39" s="134" t="s">
        <v>299</v>
      </c>
      <c r="L39" s="134" t="s">
        <v>301</v>
      </c>
      <c r="M39" s="134" t="s">
        <v>289</v>
      </c>
    </row>
    <row r="40" spans="1:13" x14ac:dyDescent="0.2">
      <c r="B40" s="420" t="s">
        <v>290</v>
      </c>
      <c r="C40" s="170" t="s">
        <v>291</v>
      </c>
      <c r="D40" s="134" t="s">
        <v>292</v>
      </c>
      <c r="E40" s="134" t="s">
        <v>293</v>
      </c>
      <c r="F40" s="134" t="s">
        <v>294</v>
      </c>
      <c r="G40" s="134" t="s">
        <v>295</v>
      </c>
      <c r="H40" s="134" t="s">
        <v>296</v>
      </c>
      <c r="I40" s="134" t="s">
        <v>297</v>
      </c>
      <c r="J40" s="134" t="s">
        <v>287</v>
      </c>
      <c r="K40" s="134" t="s">
        <v>288</v>
      </c>
      <c r="L40" s="134"/>
      <c r="M40" s="134"/>
    </row>
    <row r="41" spans="1:13" x14ac:dyDescent="0.2">
      <c r="B41" s="425">
        <f t="shared" ref="B41:B49" ca="1" si="0">MAX(D_ref*0.5, Diam_propu)</f>
        <v>54</v>
      </c>
      <c r="C41" s="403">
        <f t="shared" ref="C41:C67" ca="1" si="1">1/2*Rho_moyen*PI()*D_var^2/4*Cx/10^6</f>
        <v>7.0138019486800632E-4</v>
      </c>
      <c r="D41" s="400">
        <f ca="1">MpropuPlein+0*MasseSans</f>
        <v>1.6850000000000001</v>
      </c>
      <c r="E41" s="400">
        <f t="shared" ref="E41:E67" ca="1" si="2">m_var - 0.5*m_poudre</f>
        <v>1.1685000000000001</v>
      </c>
      <c r="F41" s="400">
        <f t="shared" ref="F41:F67" ca="1" si="3">m_var - m_poudre</f>
        <v>0.65200000000000014</v>
      </c>
      <c r="G41" s="407">
        <f t="shared" ref="G41:G67" ca="1" si="4">MAX(0, (I_total/Temps_fin_propu)/m_prop-g)</f>
        <v>480.87217115245477</v>
      </c>
      <c r="H41" s="406">
        <f t="shared" ref="H41:H67" ca="1" si="5">Q_var/m_prop</f>
        <v>6.0023979021652223E-4</v>
      </c>
      <c r="I41" s="403">
        <f t="shared" ref="I41:I67" ca="1" si="6">Q_var/m_bal</f>
        <v>1.0757364951963285E-3</v>
      </c>
      <c r="J41" s="403">
        <f t="shared" ref="J41:J67" ca="1" si="7">1/(2*b_prop)*LN(  ((EXP(2*SQRT(a_prop*b_prop)*Temps_fin_propu)+1)^2)  /  (((1+1)^2)*EXP(2*SQRT(a_prop*b_prop)*Temps_fin_propu)))</f>
        <v>2093.3057315751853</v>
      </c>
      <c r="K41" s="410">
        <f t="shared" ref="K41:K67" ca="1" si="8">SQRT(a_prop/b_prop)  *  (EXP(2*SQRT(a_prop*b_prop)*Temps_fin_propu)-1)/(EXP(2*SQRT(a_prop*b_prop)*Temps_fin_propu)+1)</f>
        <v>858.03255877092988</v>
      </c>
      <c r="L41" s="413">
        <f t="shared" ref="L41:L67" ca="1" si="9">alt_prop + 1/(2*b_bal) * LN(1+b_bal/g*V_prop^2)</f>
        <v>4140.0163847444119</v>
      </c>
      <c r="M41" s="416">
        <f t="shared" ref="M41:M67" ca="1" si="10">Temps_fin_propu + ATAN(SQRT(b_bal/g)*V_prop)/SQRT(b_bal*g)</f>
        <v>17.801914529830043</v>
      </c>
    </row>
    <row r="42" spans="1:13" x14ac:dyDescent="0.2">
      <c r="B42" s="426">
        <f t="shared" ca="1" si="0"/>
        <v>54</v>
      </c>
      <c r="C42" s="404">
        <f t="shared" ca="1" si="1"/>
        <v>7.0138019486800632E-4</v>
      </c>
      <c r="D42" s="401">
        <f ca="1">MpropuPlein+0.25*MasseSans</f>
        <v>3.2350000000000003</v>
      </c>
      <c r="E42" s="401">
        <f t="shared" ca="1" si="2"/>
        <v>2.7185000000000006</v>
      </c>
      <c r="F42" s="401">
        <f t="shared" ca="1" si="3"/>
        <v>2.2020000000000004</v>
      </c>
      <c r="G42" s="408">
        <f t="shared" ca="1" si="4"/>
        <v>201.10120728035437</v>
      </c>
      <c r="H42" s="404">
        <f t="shared" ca="1" si="5"/>
        <v>2.580026466316006E-4</v>
      </c>
      <c r="I42" s="404">
        <f t="shared" ca="1" si="6"/>
        <v>3.1851961619800464E-4</v>
      </c>
      <c r="J42" s="404">
        <f t="shared" ca="1" si="7"/>
        <v>1172.9302529505283</v>
      </c>
      <c r="K42" s="411">
        <f t="shared" ca="1" si="8"/>
        <v>594.90798372179017</v>
      </c>
      <c r="L42" s="414">
        <f t="shared" ca="1" si="9"/>
        <v>5136.6222939265936</v>
      </c>
      <c r="M42" s="417">
        <f t="shared" ca="1" si="10"/>
        <v>26.558937170653934</v>
      </c>
    </row>
    <row r="43" spans="1:13" x14ac:dyDescent="0.2">
      <c r="B43" s="426">
        <f t="shared" ca="1" si="0"/>
        <v>54</v>
      </c>
      <c r="C43" s="404">
        <f t="shared" ca="1" si="1"/>
        <v>7.0138019486800632E-4</v>
      </c>
      <c r="D43" s="401">
        <f ca="1">MpropuPlein+0.5*MasseSans</f>
        <v>4.7850000000000001</v>
      </c>
      <c r="E43" s="401">
        <f t="shared" ca="1" si="2"/>
        <v>4.2685000000000004</v>
      </c>
      <c r="F43" s="401">
        <f t="shared" ca="1" si="3"/>
        <v>3.7520000000000002</v>
      </c>
      <c r="G43" s="408">
        <f t="shared" ca="1" si="4"/>
        <v>124.5140288137855</v>
      </c>
      <c r="H43" s="404">
        <f t="shared" ca="1" si="5"/>
        <v>1.6431537890781452E-4</v>
      </c>
      <c r="I43" s="404">
        <f t="shared" ca="1" si="6"/>
        <v>1.8693501995415944E-4</v>
      </c>
      <c r="J43" s="404">
        <f t="shared" ca="1" si="7"/>
        <v>769.40888280276135</v>
      </c>
      <c r="K43" s="411">
        <f t="shared" ca="1" si="8"/>
        <v>411.46026061292184</v>
      </c>
      <c r="L43" s="414">
        <f t="shared" ca="1" si="9"/>
        <v>4624.4354357903612</v>
      </c>
      <c r="M43" s="417">
        <f t="shared" ca="1" si="10"/>
        <v>28.407920215474242</v>
      </c>
    </row>
    <row r="44" spans="1:13" x14ac:dyDescent="0.2">
      <c r="B44" s="426">
        <f t="shared" ca="1" si="0"/>
        <v>54</v>
      </c>
      <c r="C44" s="404">
        <f t="shared" ca="1" si="1"/>
        <v>7.0138019486800632E-4</v>
      </c>
      <c r="D44" s="401">
        <f ca="1">MpropuPlein+0.75*MasseSans</f>
        <v>6.3350000000000009</v>
      </c>
      <c r="E44" s="401">
        <f t="shared" ca="1" si="2"/>
        <v>5.8185000000000011</v>
      </c>
      <c r="F44" s="401">
        <f t="shared" ca="1" si="3"/>
        <v>5.3020000000000014</v>
      </c>
      <c r="G44" s="408">
        <f t="shared" ca="1" si="4"/>
        <v>88.731224884702812</v>
      </c>
      <c r="H44" s="404">
        <f t="shared" ca="1" si="5"/>
        <v>1.2054312879058283E-4</v>
      </c>
      <c r="I44" s="404">
        <f t="shared" ca="1" si="6"/>
        <v>1.3228596659147607E-4</v>
      </c>
      <c r="J44" s="404">
        <f t="shared" ca="1" si="7"/>
        <v>559.11514484065583</v>
      </c>
      <c r="K44" s="411">
        <f t="shared" ca="1" si="8"/>
        <v>304.67235982284654</v>
      </c>
      <c r="L44" s="414">
        <f t="shared" ca="1" si="9"/>
        <v>3627.0864170700515</v>
      </c>
      <c r="M44" s="417">
        <f t="shared" ca="1" si="10"/>
        <v>26.947024601248625</v>
      </c>
    </row>
    <row r="45" spans="1:13" x14ac:dyDescent="0.2">
      <c r="B45" s="426">
        <f t="shared" ca="1" si="0"/>
        <v>54</v>
      </c>
      <c r="C45" s="404">
        <f t="shared" ca="1" si="1"/>
        <v>7.0138019486800632E-4</v>
      </c>
      <c r="D45" s="401">
        <f ca="1">MpropuPlein+1*MasseSans</f>
        <v>7.8849999999999998</v>
      </c>
      <c r="E45" s="401">
        <f t="shared" ca="1" si="2"/>
        <v>7.3685</v>
      </c>
      <c r="F45" s="401">
        <f t="shared" ca="1" si="3"/>
        <v>6.8520000000000003</v>
      </c>
      <c r="G45" s="408">
        <f t="shared" ca="1" si="4"/>
        <v>68.002596456760998</v>
      </c>
      <c r="H45" s="404">
        <f t="shared" ca="1" si="5"/>
        <v>9.5186292307526132E-5</v>
      </c>
      <c r="I45" s="404">
        <f t="shared" ca="1" si="6"/>
        <v>1.0236138278867576E-4</v>
      </c>
      <c r="J45" s="404">
        <f t="shared" ca="1" si="7"/>
        <v>432.25146256728181</v>
      </c>
      <c r="K45" s="411">
        <f t="shared" ca="1" si="8"/>
        <v>237.55974389707052</v>
      </c>
      <c r="L45" s="414">
        <f t="shared" ca="1" si="9"/>
        <v>2693.9317468470763</v>
      </c>
      <c r="M45" s="417">
        <f t="shared" ca="1" si="10"/>
        <v>24.245000193772302</v>
      </c>
    </row>
    <row r="46" spans="1:13" x14ac:dyDescent="0.2">
      <c r="B46" s="426">
        <f t="shared" ca="1" si="0"/>
        <v>54</v>
      </c>
      <c r="C46" s="404">
        <f t="shared" ca="1" si="1"/>
        <v>7.0138019486800632E-4</v>
      </c>
      <c r="D46" s="401">
        <f ca="1">MpropuPlein+1.25*MasseSans</f>
        <v>9.4350000000000005</v>
      </c>
      <c r="E46" s="401">
        <f t="shared" ca="1" si="2"/>
        <v>8.9184999999999999</v>
      </c>
      <c r="F46" s="401">
        <f t="shared" ca="1" si="3"/>
        <v>8.402000000000001</v>
      </c>
      <c r="G46" s="408">
        <f t="shared" ca="1" si="4"/>
        <v>54.479075179866953</v>
      </c>
      <c r="H46" s="404">
        <f t="shared" ca="1" si="5"/>
        <v>7.8643291457981311E-5</v>
      </c>
      <c r="I46" s="404">
        <f t="shared" ca="1" si="6"/>
        <v>8.347776658747991E-5</v>
      </c>
      <c r="J46" s="404">
        <f t="shared" ca="1" si="7"/>
        <v>347.8818180416356</v>
      </c>
      <c r="K46" s="411">
        <f t="shared" ca="1" si="8"/>
        <v>192.05781181978742</v>
      </c>
      <c r="L46" s="414">
        <f t="shared" ca="1" si="9"/>
        <v>1982.9624543746502</v>
      </c>
      <c r="M46" s="417">
        <f t="shared" ca="1" si="10"/>
        <v>21.435495477593172</v>
      </c>
    </row>
    <row r="47" spans="1:13" x14ac:dyDescent="0.2">
      <c r="B47" s="426">
        <f t="shared" ca="1" si="0"/>
        <v>54</v>
      </c>
      <c r="C47" s="404">
        <f t="shared" ca="1" si="1"/>
        <v>7.0138019486800632E-4</v>
      </c>
      <c r="D47" s="401">
        <f ca="1">MpropuPlein+1.5*MasseSans</f>
        <v>10.985000000000001</v>
      </c>
      <c r="E47" s="401">
        <f t="shared" ca="1" si="2"/>
        <v>10.468500000000001</v>
      </c>
      <c r="F47" s="401">
        <f t="shared" ca="1" si="3"/>
        <v>9.9520000000000017</v>
      </c>
      <c r="G47" s="408">
        <f t="shared" ca="1" si="4"/>
        <v>44.960226583717187</v>
      </c>
      <c r="H47" s="404">
        <f t="shared" ca="1" si="5"/>
        <v>6.6999111130344009E-5</v>
      </c>
      <c r="I47" s="404">
        <f t="shared" ca="1" si="6"/>
        <v>7.0476305754421843E-5</v>
      </c>
      <c r="J47" s="404">
        <f t="shared" ca="1" si="7"/>
        <v>287.87046983661253</v>
      </c>
      <c r="K47" s="411">
        <f t="shared" ca="1" si="8"/>
        <v>159.35039022051231</v>
      </c>
      <c r="L47" s="414">
        <f t="shared" ca="1" si="9"/>
        <v>1476.6813957746597</v>
      </c>
      <c r="M47" s="417">
        <f t="shared" ca="1" si="10"/>
        <v>18.941692515483517</v>
      </c>
    </row>
    <row r="48" spans="1:13" x14ac:dyDescent="0.2">
      <c r="B48" s="426">
        <f t="shared" ca="1" si="0"/>
        <v>54</v>
      </c>
      <c r="C48" s="404">
        <f t="shared" ca="1" si="1"/>
        <v>7.0138019486800632E-4</v>
      </c>
      <c r="D48" s="401">
        <f ca="1">MpropuPlein+1.75*MasseSans</f>
        <v>12.535</v>
      </c>
      <c r="E48" s="401">
        <f t="shared" ca="1" si="2"/>
        <v>12.0185</v>
      </c>
      <c r="F48" s="401">
        <f t="shared" ca="1" si="3"/>
        <v>11.502000000000001</v>
      </c>
      <c r="G48" s="408">
        <f t="shared" ca="1" si="4"/>
        <v>37.896628696729493</v>
      </c>
      <c r="H48" s="404">
        <f t="shared" ca="1" si="5"/>
        <v>5.83583804025466E-5</v>
      </c>
      <c r="I48" s="404">
        <f t="shared" ca="1" si="6"/>
        <v>6.0978977122935689E-5</v>
      </c>
      <c r="J48" s="404">
        <f t="shared" ca="1" si="7"/>
        <v>243.05639769004779</v>
      </c>
      <c r="K48" s="411">
        <f t="shared" ca="1" si="8"/>
        <v>134.77085936563637</v>
      </c>
      <c r="L48" s="414">
        <f t="shared" ca="1" si="9"/>
        <v>1120.1731572663421</v>
      </c>
      <c r="M48" s="417">
        <f t="shared" ca="1" si="10"/>
        <v>16.843514650318024</v>
      </c>
    </row>
    <row r="49" spans="2:13" x14ac:dyDescent="0.2">
      <c r="B49" s="427">
        <f t="shared" ca="1" si="0"/>
        <v>54</v>
      </c>
      <c r="C49" s="405">
        <f t="shared" ca="1" si="1"/>
        <v>7.0138019486800632E-4</v>
      </c>
      <c r="D49" s="402">
        <f ca="1">MpropuPlein+2*MasseSans</f>
        <v>14.085000000000001</v>
      </c>
      <c r="E49" s="402">
        <f t="shared" ca="1" si="2"/>
        <v>13.5685</v>
      </c>
      <c r="F49" s="402">
        <f t="shared" ca="1" si="3"/>
        <v>13.052000000000001</v>
      </c>
      <c r="G49" s="409">
        <f t="shared" ca="1" si="4"/>
        <v>32.446853520407075</v>
      </c>
      <c r="H49" s="405">
        <f t="shared" ca="1" si="5"/>
        <v>5.1691800484062814E-5</v>
      </c>
      <c r="I49" s="405">
        <f t="shared" ca="1" si="6"/>
        <v>5.3737373189396741E-5</v>
      </c>
      <c r="J49" s="405">
        <f t="shared" ca="1" si="7"/>
        <v>208.34016833639402</v>
      </c>
      <c r="K49" s="412">
        <f t="shared" ca="1" si="8"/>
        <v>115.65207582366207</v>
      </c>
      <c r="L49" s="415">
        <f t="shared" ca="1" si="9"/>
        <v>866.24534673977723</v>
      </c>
      <c r="M49" s="418">
        <f t="shared" ca="1" si="10"/>
        <v>15.103309258071929</v>
      </c>
    </row>
    <row r="50" spans="2:13" x14ac:dyDescent="0.2">
      <c r="B50" s="425">
        <f t="shared" ref="B50:B58" si="11">D_ref</f>
        <v>104</v>
      </c>
      <c r="C50" s="403">
        <f t="shared" si="1"/>
        <v>2.601552876437708E-3</v>
      </c>
      <c r="D50" s="400">
        <f ca="1">MpropuPlein+0*MasseSans</f>
        <v>1.6850000000000001</v>
      </c>
      <c r="E50" s="400">
        <f t="shared" ca="1" si="2"/>
        <v>1.1685000000000001</v>
      </c>
      <c r="F50" s="400">
        <f t="shared" ca="1" si="3"/>
        <v>0.65200000000000014</v>
      </c>
      <c r="G50" s="407">
        <f t="shared" ca="1" si="4"/>
        <v>480.87217115245477</v>
      </c>
      <c r="H50" s="403">
        <f t="shared" ca="1" si="5"/>
        <v>2.2264038309265793E-3</v>
      </c>
      <c r="I50" s="403">
        <f t="shared" ca="1" si="6"/>
        <v>3.9901117736774652E-3</v>
      </c>
      <c r="J50" s="403">
        <f t="shared" ca="1" si="7"/>
        <v>1357.3635275601007</v>
      </c>
      <c r="K50" s="410">
        <f t="shared" ca="1" si="8"/>
        <v>464.1915134373819</v>
      </c>
      <c r="L50" s="413">
        <f t="shared" ca="1" si="9"/>
        <v>1919.3279369936813</v>
      </c>
      <c r="M50" s="416">
        <f t="shared" ca="1" si="10"/>
        <v>10.991628349718576</v>
      </c>
    </row>
    <row r="51" spans="2:13" x14ac:dyDescent="0.2">
      <c r="B51" s="426">
        <f t="shared" si="11"/>
        <v>104</v>
      </c>
      <c r="C51" s="404">
        <f t="shared" si="1"/>
        <v>2.601552876437708E-3</v>
      </c>
      <c r="D51" s="401">
        <f ca="1">MpropuPlein+0.25*MasseSans</f>
        <v>3.2350000000000003</v>
      </c>
      <c r="E51" s="401">
        <f t="shared" ca="1" si="2"/>
        <v>2.7185000000000006</v>
      </c>
      <c r="F51" s="401">
        <f t="shared" ca="1" si="3"/>
        <v>2.2020000000000004</v>
      </c>
      <c r="G51" s="408">
        <f t="shared" ca="1" si="4"/>
        <v>201.10120728035437</v>
      </c>
      <c r="H51" s="404">
        <f t="shared" ca="1" si="5"/>
        <v>9.5698101027688338E-4</v>
      </c>
      <c r="I51" s="404">
        <f t="shared" ca="1" si="6"/>
        <v>1.1814499892995947E-3</v>
      </c>
      <c r="J51" s="404">
        <f t="shared" ca="1" si="7"/>
        <v>965.24587609656623</v>
      </c>
      <c r="K51" s="411">
        <f t="shared" ca="1" si="8"/>
        <v>420.73113640121181</v>
      </c>
      <c r="L51" s="414">
        <f t="shared" ca="1" si="9"/>
        <v>2279.484208535895</v>
      </c>
      <c r="M51" s="417">
        <f t="shared" ca="1" si="10"/>
        <v>16.199574390561999</v>
      </c>
    </row>
    <row r="52" spans="2:13" x14ac:dyDescent="0.2">
      <c r="B52" s="426">
        <f t="shared" si="11"/>
        <v>104</v>
      </c>
      <c r="C52" s="404">
        <f t="shared" si="1"/>
        <v>2.601552876437708E-3</v>
      </c>
      <c r="D52" s="401">
        <f ca="1">MpropuPlein+0.5*MasseSans</f>
        <v>4.7850000000000001</v>
      </c>
      <c r="E52" s="401">
        <f t="shared" ca="1" si="2"/>
        <v>4.2685000000000004</v>
      </c>
      <c r="F52" s="401">
        <f t="shared" ca="1" si="3"/>
        <v>3.7520000000000002</v>
      </c>
      <c r="G52" s="408">
        <f t="shared" ca="1" si="4"/>
        <v>124.5140288137855</v>
      </c>
      <c r="H52" s="404">
        <f t="shared" ca="1" si="5"/>
        <v>6.0947707073625581E-4</v>
      </c>
      <c r="I52" s="404">
        <f t="shared" ca="1" si="6"/>
        <v>6.9337763231282191E-4</v>
      </c>
      <c r="J52" s="404">
        <f t="shared" ca="1" si="7"/>
        <v>697.98308955824257</v>
      </c>
      <c r="K52" s="411">
        <f t="shared" ca="1" si="8"/>
        <v>342.12244556875828</v>
      </c>
      <c r="L52" s="414">
        <f t="shared" ca="1" si="9"/>
        <v>2303.9686028245601</v>
      </c>
      <c r="M52" s="417">
        <f t="shared" ca="1" si="10"/>
        <v>18.57886252365951</v>
      </c>
    </row>
    <row r="53" spans="2:13" x14ac:dyDescent="0.2">
      <c r="B53" s="426">
        <f t="shared" si="11"/>
        <v>104</v>
      </c>
      <c r="C53" s="404">
        <f t="shared" si="1"/>
        <v>2.601552876437708E-3</v>
      </c>
      <c r="D53" s="401">
        <f ca="1">MpropuPlein+0.75*MasseSans</f>
        <v>6.3350000000000009</v>
      </c>
      <c r="E53" s="401">
        <f t="shared" ca="1" si="2"/>
        <v>5.8185000000000011</v>
      </c>
      <c r="F53" s="401">
        <f t="shared" ca="1" si="3"/>
        <v>5.3020000000000014</v>
      </c>
      <c r="G53" s="408">
        <f t="shared" ca="1" si="4"/>
        <v>88.731224884702812</v>
      </c>
      <c r="H53" s="404">
        <f t="shared" ca="1" si="5"/>
        <v>4.4711744890224412E-4</v>
      </c>
      <c r="I53" s="404">
        <f t="shared" ca="1" si="6"/>
        <v>4.9067387333793047E-4</v>
      </c>
      <c r="J53" s="404">
        <f t="shared" ca="1" si="7"/>
        <v>528.81983318241441</v>
      </c>
      <c r="K53" s="411">
        <f t="shared" ca="1" si="8"/>
        <v>273.45342441643868</v>
      </c>
      <c r="L53" s="414">
        <f t="shared" ca="1" si="9"/>
        <v>2114.4674939095376</v>
      </c>
      <c r="M53" s="417">
        <f t="shared" ca="1" si="10"/>
        <v>19.352316603380334</v>
      </c>
    </row>
    <row r="54" spans="2:13" x14ac:dyDescent="0.2">
      <c r="B54" s="426">
        <f t="shared" si="11"/>
        <v>104</v>
      </c>
      <c r="C54" s="404">
        <f t="shared" si="1"/>
        <v>2.601552876437708E-3</v>
      </c>
      <c r="D54" s="401">
        <f ca="1">MpropuPlein+1*MasseSans</f>
        <v>7.8849999999999998</v>
      </c>
      <c r="E54" s="401">
        <f t="shared" ca="1" si="2"/>
        <v>7.3685</v>
      </c>
      <c r="F54" s="401">
        <f t="shared" ca="1" si="3"/>
        <v>6.8520000000000003</v>
      </c>
      <c r="G54" s="408">
        <f t="shared" ca="1" si="4"/>
        <v>68.002596456760998</v>
      </c>
      <c r="H54" s="404">
        <f t="shared" ca="1" si="5"/>
        <v>3.5306410754396526E-4</v>
      </c>
      <c r="I54" s="404">
        <f t="shared" ca="1" si="6"/>
        <v>3.7967788622850381E-4</v>
      </c>
      <c r="J54" s="404">
        <f t="shared" ca="1" si="7"/>
        <v>417.31807785998444</v>
      </c>
      <c r="K54" s="411">
        <f t="shared" ca="1" si="8"/>
        <v>221.71852095220871</v>
      </c>
      <c r="L54" s="414">
        <f t="shared" ca="1" si="9"/>
        <v>1820.6274021925847</v>
      </c>
      <c r="M54" s="417">
        <f t="shared" ca="1" si="10"/>
        <v>19.049694209354669</v>
      </c>
    </row>
    <row r="55" spans="2:13" x14ac:dyDescent="0.2">
      <c r="B55" s="426">
        <f t="shared" si="11"/>
        <v>104</v>
      </c>
      <c r="C55" s="404">
        <f t="shared" si="1"/>
        <v>2.601552876437708E-3</v>
      </c>
      <c r="D55" s="401">
        <f ca="1">MpropuPlein+1.25*MasseSans</f>
        <v>9.4350000000000005</v>
      </c>
      <c r="E55" s="401">
        <f t="shared" ca="1" si="2"/>
        <v>8.9184999999999999</v>
      </c>
      <c r="F55" s="401">
        <f t="shared" ca="1" si="3"/>
        <v>8.402000000000001</v>
      </c>
      <c r="G55" s="408">
        <f t="shared" ca="1" si="4"/>
        <v>54.479075179866953</v>
      </c>
      <c r="H55" s="404">
        <f t="shared" ca="1" si="5"/>
        <v>2.9170296310340396E-4</v>
      </c>
      <c r="I55" s="404">
        <f t="shared" ca="1" si="6"/>
        <v>3.0963495315849889E-4</v>
      </c>
      <c r="J55" s="404">
        <f t="shared" ca="1" si="7"/>
        <v>339.69837656944009</v>
      </c>
      <c r="K55" s="411">
        <f t="shared" ca="1" si="8"/>
        <v>183.23756033996938</v>
      </c>
      <c r="L55" s="414">
        <f t="shared" ca="1" si="9"/>
        <v>1506.5439921676716</v>
      </c>
      <c r="M55" s="417">
        <f t="shared" ca="1" si="10"/>
        <v>18.103783156923683</v>
      </c>
    </row>
    <row r="56" spans="2:13" x14ac:dyDescent="0.2">
      <c r="B56" s="426">
        <f t="shared" si="11"/>
        <v>104</v>
      </c>
      <c r="C56" s="404">
        <f t="shared" si="1"/>
        <v>2.601552876437708E-3</v>
      </c>
      <c r="D56" s="401">
        <f ca="1">MpropuPlein+1.5*MasseSans</f>
        <v>10.985000000000001</v>
      </c>
      <c r="E56" s="401">
        <f t="shared" ca="1" si="2"/>
        <v>10.468500000000001</v>
      </c>
      <c r="F56" s="401">
        <f t="shared" ca="1" si="3"/>
        <v>9.9520000000000017</v>
      </c>
      <c r="G56" s="408">
        <f t="shared" ca="1" si="4"/>
        <v>44.960226583717187</v>
      </c>
      <c r="H56" s="404">
        <f t="shared" ca="1" si="5"/>
        <v>2.4851247804725683E-4</v>
      </c>
      <c r="I56" s="404">
        <f t="shared" ca="1" si="6"/>
        <v>2.6141005591214905E-4</v>
      </c>
      <c r="J56" s="404">
        <f t="shared" ca="1" si="7"/>
        <v>283.0283382278123</v>
      </c>
      <c r="K56" s="411">
        <f t="shared" ca="1" si="8"/>
        <v>154.08130005630014</v>
      </c>
      <c r="L56" s="414">
        <f t="shared" ca="1" si="9"/>
        <v>1220.6265780822373</v>
      </c>
      <c r="M56" s="417">
        <f t="shared" ca="1" si="10"/>
        <v>16.858495961986328</v>
      </c>
    </row>
    <row r="57" spans="2:13" x14ac:dyDescent="0.2">
      <c r="B57" s="426">
        <f t="shared" si="11"/>
        <v>104</v>
      </c>
      <c r="C57" s="404">
        <f t="shared" si="1"/>
        <v>2.601552876437708E-3</v>
      </c>
      <c r="D57" s="401">
        <f ca="1">MpropuPlein+1.75*MasseSans</f>
        <v>12.535</v>
      </c>
      <c r="E57" s="401">
        <f t="shared" ca="1" si="2"/>
        <v>12.0185</v>
      </c>
      <c r="F57" s="401">
        <f t="shared" ca="1" si="3"/>
        <v>11.502000000000001</v>
      </c>
      <c r="G57" s="408">
        <f t="shared" ca="1" si="4"/>
        <v>37.896628696729493</v>
      </c>
      <c r="H57" s="404">
        <f t="shared" ca="1" si="5"/>
        <v>2.1646236023111938E-4</v>
      </c>
      <c r="I57" s="404">
        <f t="shared" ca="1" si="6"/>
        <v>2.2618265314186298E-4</v>
      </c>
      <c r="J57" s="404">
        <f t="shared" ca="1" si="7"/>
        <v>240.02223546818016</v>
      </c>
      <c r="K57" s="411">
        <f t="shared" ca="1" si="8"/>
        <v>131.44880913508683</v>
      </c>
      <c r="L57" s="414">
        <f t="shared" ca="1" si="9"/>
        <v>981.27803419490363</v>
      </c>
      <c r="M57" s="417">
        <f t="shared" ca="1" si="10"/>
        <v>15.542727745766481</v>
      </c>
    </row>
    <row r="58" spans="2:13" x14ac:dyDescent="0.2">
      <c r="B58" s="427">
        <f t="shared" si="11"/>
        <v>104</v>
      </c>
      <c r="C58" s="405">
        <f t="shared" si="1"/>
        <v>2.601552876437708E-3</v>
      </c>
      <c r="D58" s="402">
        <f ca="1">MpropuPlein+2*MasseSans</f>
        <v>14.085000000000001</v>
      </c>
      <c r="E58" s="402">
        <f t="shared" ca="1" si="2"/>
        <v>13.5685</v>
      </c>
      <c r="F58" s="402">
        <f t="shared" ca="1" si="3"/>
        <v>13.052000000000001</v>
      </c>
      <c r="G58" s="409">
        <f t="shared" ca="1" si="4"/>
        <v>32.446853520407075</v>
      </c>
      <c r="H58" s="405">
        <f t="shared" ca="1" si="5"/>
        <v>1.9173474418231255E-4</v>
      </c>
      <c r="I58" s="405">
        <f t="shared" ca="1" si="6"/>
        <v>1.9932216338014924E-4</v>
      </c>
      <c r="J58" s="405">
        <f t="shared" ca="1" si="7"/>
        <v>206.3533664251398</v>
      </c>
      <c r="K58" s="412">
        <f t="shared" ca="1" si="8"/>
        <v>113.4677040602801</v>
      </c>
      <c r="L58" s="415">
        <f t="shared" ca="1" si="9"/>
        <v>789.27297732777117</v>
      </c>
      <c r="M58" s="418">
        <f t="shared" ca="1" si="10"/>
        <v>14.281636303018827</v>
      </c>
    </row>
    <row r="59" spans="2:13" x14ac:dyDescent="0.2">
      <c r="B59" s="425">
        <f t="shared" ref="B59:B67" si="12">D_ref*1.5</f>
        <v>156</v>
      </c>
      <c r="C59" s="403">
        <f t="shared" si="1"/>
        <v>5.8534939719848429E-3</v>
      </c>
      <c r="D59" s="400">
        <f ca="1">MpropuPlein+0*MasseSans</f>
        <v>1.6850000000000001</v>
      </c>
      <c r="E59" s="400">
        <f t="shared" ca="1" si="2"/>
        <v>1.1685000000000001</v>
      </c>
      <c r="F59" s="400">
        <f t="shared" ca="1" si="3"/>
        <v>0.65200000000000014</v>
      </c>
      <c r="G59" s="407">
        <f t="shared" ca="1" si="4"/>
        <v>480.87217115245477</v>
      </c>
      <c r="H59" s="403">
        <f t="shared" ca="1" si="5"/>
        <v>5.0094086195848027E-3</v>
      </c>
      <c r="I59" s="403">
        <f t="shared" ca="1" si="6"/>
        <v>8.977751490774297E-3</v>
      </c>
      <c r="J59" s="403">
        <f t="shared" ca="1" si="7"/>
        <v>973.91872388612069</v>
      </c>
      <c r="K59" s="410">
        <f t="shared" ca="1" si="8"/>
        <v>309.81969976525187</v>
      </c>
      <c r="L59" s="413">
        <f t="shared" ca="1" si="9"/>
        <v>1223.8082609744511</v>
      </c>
      <c r="M59" s="416">
        <f t="shared" ca="1" si="10"/>
        <v>8.524830917711494</v>
      </c>
    </row>
    <row r="60" spans="2:13" x14ac:dyDescent="0.2">
      <c r="B60" s="426">
        <f t="shared" si="12"/>
        <v>156</v>
      </c>
      <c r="C60" s="404">
        <f t="shared" si="1"/>
        <v>5.8534939719848429E-3</v>
      </c>
      <c r="D60" s="401">
        <f ca="1">MpropuPlein+0.25*MasseSans</f>
        <v>3.2350000000000003</v>
      </c>
      <c r="E60" s="401">
        <f t="shared" ca="1" si="2"/>
        <v>2.7185000000000006</v>
      </c>
      <c r="F60" s="401">
        <f t="shared" ca="1" si="3"/>
        <v>2.2020000000000004</v>
      </c>
      <c r="G60" s="408">
        <f t="shared" ca="1" si="4"/>
        <v>201.10120728035437</v>
      </c>
      <c r="H60" s="404">
        <f t="shared" ca="1" si="5"/>
        <v>2.1532072731229876E-3</v>
      </c>
      <c r="I60" s="404">
        <f t="shared" ca="1" si="6"/>
        <v>2.6582624759240881E-3</v>
      </c>
      <c r="J60" s="404">
        <f t="shared" ca="1" si="7"/>
        <v>779.32095113707544</v>
      </c>
      <c r="K60" s="411">
        <f t="shared" ca="1" si="8"/>
        <v>300.23197313655521</v>
      </c>
      <c r="L60" s="414">
        <f t="shared" ca="1" si="9"/>
        <v>1387.9423769169885</v>
      </c>
      <c r="M60" s="417">
        <f t="shared" ca="1" si="10"/>
        <v>12.080876808173977</v>
      </c>
    </row>
    <row r="61" spans="2:13" x14ac:dyDescent="0.2">
      <c r="B61" s="426">
        <f t="shared" si="12"/>
        <v>156</v>
      </c>
      <c r="C61" s="404">
        <f t="shared" si="1"/>
        <v>5.8534939719848429E-3</v>
      </c>
      <c r="D61" s="401">
        <f ca="1">MpropuPlein+0.5*MasseSans</f>
        <v>4.7850000000000001</v>
      </c>
      <c r="E61" s="401">
        <f t="shared" ca="1" si="2"/>
        <v>4.2685000000000004</v>
      </c>
      <c r="F61" s="401">
        <f t="shared" ca="1" si="3"/>
        <v>3.7520000000000002</v>
      </c>
      <c r="G61" s="408">
        <f t="shared" ca="1" si="4"/>
        <v>124.5140288137855</v>
      </c>
      <c r="H61" s="404">
        <f t="shared" ca="1" si="5"/>
        <v>1.3713234091565754E-3</v>
      </c>
      <c r="I61" s="404">
        <f t="shared" ca="1" si="6"/>
        <v>1.5600996727038493E-3</v>
      </c>
      <c r="J61" s="404">
        <f t="shared" ca="1" si="7"/>
        <v>612.90201797678901</v>
      </c>
      <c r="K61" s="411">
        <f t="shared" ca="1" si="8"/>
        <v>271.83164970302022</v>
      </c>
      <c r="L61" s="414">
        <f t="shared" ca="1" si="9"/>
        <v>1428.7562532588227</v>
      </c>
      <c r="M61" s="417">
        <f t="shared" ca="1" si="10"/>
        <v>13.992882222853483</v>
      </c>
    </row>
    <row r="62" spans="2:13" x14ac:dyDescent="0.2">
      <c r="B62" s="426">
        <f t="shared" si="12"/>
        <v>156</v>
      </c>
      <c r="C62" s="404">
        <f t="shared" si="1"/>
        <v>5.8534939719848429E-3</v>
      </c>
      <c r="D62" s="401">
        <f ca="1">MpropuPlein+0.75*MasseSans</f>
        <v>6.3350000000000009</v>
      </c>
      <c r="E62" s="401">
        <f t="shared" ca="1" si="2"/>
        <v>5.8185000000000011</v>
      </c>
      <c r="F62" s="401">
        <f t="shared" ca="1" si="3"/>
        <v>5.3020000000000014</v>
      </c>
      <c r="G62" s="408">
        <f t="shared" ca="1" si="4"/>
        <v>88.731224884702812</v>
      </c>
      <c r="H62" s="404">
        <f t="shared" ca="1" si="5"/>
        <v>1.0060142600300493E-3</v>
      </c>
      <c r="I62" s="404">
        <f t="shared" ca="1" si="6"/>
        <v>1.1040162150103435E-3</v>
      </c>
      <c r="J62" s="404">
        <f t="shared" ca="1" si="7"/>
        <v>487.20319418387447</v>
      </c>
      <c r="K62" s="411">
        <f t="shared" ca="1" si="8"/>
        <v>234.74851540799969</v>
      </c>
      <c r="L62" s="414">
        <f t="shared" ca="1" si="9"/>
        <v>1381.3566755771581</v>
      </c>
      <c r="M62" s="417">
        <f t="shared" ca="1" si="10"/>
        <v>15.014619405304806</v>
      </c>
    </row>
    <row r="63" spans="2:13" x14ac:dyDescent="0.2">
      <c r="B63" s="426">
        <f t="shared" si="12"/>
        <v>156</v>
      </c>
      <c r="C63" s="404">
        <f t="shared" si="1"/>
        <v>5.8534939719848429E-3</v>
      </c>
      <c r="D63" s="401">
        <f ca="1">MpropuPlein+1*MasseSans</f>
        <v>7.8849999999999998</v>
      </c>
      <c r="E63" s="401">
        <f t="shared" ca="1" si="2"/>
        <v>7.3685</v>
      </c>
      <c r="F63" s="401">
        <f t="shared" ca="1" si="3"/>
        <v>6.8520000000000003</v>
      </c>
      <c r="G63" s="408">
        <f t="shared" ca="1" si="4"/>
        <v>68.002596456760998</v>
      </c>
      <c r="H63" s="404">
        <f t="shared" ca="1" si="5"/>
        <v>7.9439424197392183E-4</v>
      </c>
      <c r="I63" s="404">
        <f t="shared" ca="1" si="6"/>
        <v>8.5427524401413349E-4</v>
      </c>
      <c r="J63" s="404">
        <f t="shared" ca="1" si="7"/>
        <v>395.17334598890625</v>
      </c>
      <c r="K63" s="411">
        <f t="shared" ca="1" si="8"/>
        <v>199.78316346552987</v>
      </c>
      <c r="L63" s="414">
        <f t="shared" ca="1" si="9"/>
        <v>1272.3323563453205</v>
      </c>
      <c r="M63" s="417">
        <f t="shared" ca="1" si="10"/>
        <v>15.370753547061385</v>
      </c>
    </row>
    <row r="64" spans="2:13" x14ac:dyDescent="0.2">
      <c r="B64" s="426">
        <f t="shared" si="12"/>
        <v>156</v>
      </c>
      <c r="C64" s="404">
        <f t="shared" si="1"/>
        <v>5.8534939719848429E-3</v>
      </c>
      <c r="D64" s="401">
        <f ca="1">MpropuPlein+1.25*MasseSans</f>
        <v>9.4350000000000005</v>
      </c>
      <c r="E64" s="401">
        <f t="shared" ca="1" si="2"/>
        <v>8.9184999999999999</v>
      </c>
      <c r="F64" s="401">
        <f t="shared" ca="1" si="3"/>
        <v>8.402000000000001</v>
      </c>
      <c r="G64" s="408">
        <f t="shared" ca="1" si="4"/>
        <v>54.479075179866953</v>
      </c>
      <c r="H64" s="404">
        <f t="shared" ca="1" si="5"/>
        <v>6.563316669826589E-4</v>
      </c>
      <c r="I64" s="404">
        <f t="shared" ca="1" si="6"/>
        <v>6.9667864460662247E-4</v>
      </c>
      <c r="J64" s="404">
        <f t="shared" ca="1" si="7"/>
        <v>327.01212614808378</v>
      </c>
      <c r="K64" s="411">
        <f t="shared" ca="1" si="8"/>
        <v>170.20426174596597</v>
      </c>
      <c r="L64" s="414">
        <f t="shared" ca="1" si="9"/>
        <v>1129.0623988486182</v>
      </c>
      <c r="M64" s="417">
        <f t="shared" ca="1" si="10"/>
        <v>15.226096712864763</v>
      </c>
    </row>
    <row r="65" spans="2:13" x14ac:dyDescent="0.2">
      <c r="B65" s="426">
        <f t="shared" si="12"/>
        <v>156</v>
      </c>
      <c r="C65" s="404">
        <f t="shared" si="1"/>
        <v>5.8534939719848429E-3</v>
      </c>
      <c r="D65" s="401">
        <f ca="1">MpropuPlein+1.5*MasseSans</f>
        <v>10.985000000000001</v>
      </c>
      <c r="E65" s="401">
        <f t="shared" ca="1" si="2"/>
        <v>10.468500000000001</v>
      </c>
      <c r="F65" s="401">
        <f t="shared" ca="1" si="3"/>
        <v>9.9520000000000017</v>
      </c>
      <c r="G65" s="408">
        <f t="shared" ca="1" si="4"/>
        <v>44.960226583717187</v>
      </c>
      <c r="H65" s="404">
        <f t="shared" ca="1" si="5"/>
        <v>5.5915307560632779E-4</v>
      </c>
      <c r="I65" s="404">
        <f t="shared" ca="1" si="6"/>
        <v>5.8817262580233539E-4</v>
      </c>
      <c r="J65" s="404">
        <f t="shared" ca="1" si="7"/>
        <v>275.31203475895057</v>
      </c>
      <c r="K65" s="411">
        <f t="shared" ca="1" si="8"/>
        <v>145.97242979220849</v>
      </c>
      <c r="L65" s="414">
        <f t="shared" ca="1" si="9"/>
        <v>975.02136385399672</v>
      </c>
      <c r="M65" s="417">
        <f t="shared" ca="1" si="10"/>
        <v>14.733728880277212</v>
      </c>
    </row>
    <row r="66" spans="2:13" x14ac:dyDescent="0.2">
      <c r="B66" s="426">
        <f t="shared" si="12"/>
        <v>156</v>
      </c>
      <c r="C66" s="404">
        <f t="shared" si="1"/>
        <v>5.8534939719848429E-3</v>
      </c>
      <c r="D66" s="401">
        <f ca="1">MpropuPlein+1.75*MasseSans</f>
        <v>12.535</v>
      </c>
      <c r="E66" s="401">
        <f t="shared" ca="1" si="2"/>
        <v>12.0185</v>
      </c>
      <c r="F66" s="401">
        <f t="shared" ca="1" si="3"/>
        <v>11.502000000000001</v>
      </c>
      <c r="G66" s="408">
        <f t="shared" ca="1" si="4"/>
        <v>37.896628696729493</v>
      </c>
      <c r="H66" s="404">
        <f t="shared" ca="1" si="5"/>
        <v>4.8704031052001855E-4</v>
      </c>
      <c r="I66" s="404">
        <f t="shared" ca="1" si="6"/>
        <v>5.0891096956919165E-4</v>
      </c>
      <c r="J66" s="404">
        <f t="shared" ca="1" si="7"/>
        <v>235.09880670201272</v>
      </c>
      <c r="K66" s="411">
        <f t="shared" ca="1" si="8"/>
        <v>126.19753322189929</v>
      </c>
      <c r="L66" s="414">
        <f t="shared" ca="1" si="9"/>
        <v>826.78010522965451</v>
      </c>
      <c r="M66" s="417">
        <f t="shared" ca="1" si="10"/>
        <v>14.03106620541157</v>
      </c>
    </row>
    <row r="67" spans="2:13" x14ac:dyDescent="0.2">
      <c r="B67" s="427">
        <f t="shared" si="12"/>
        <v>156</v>
      </c>
      <c r="C67" s="405">
        <f t="shared" si="1"/>
        <v>5.8534939719848429E-3</v>
      </c>
      <c r="D67" s="402">
        <f ca="1">MpropuPlein+2*MasseSans</f>
        <v>14.085000000000001</v>
      </c>
      <c r="E67" s="402">
        <f t="shared" ca="1" si="2"/>
        <v>13.5685</v>
      </c>
      <c r="F67" s="402">
        <f t="shared" ca="1" si="3"/>
        <v>13.052000000000001</v>
      </c>
      <c r="G67" s="409">
        <f t="shared" ca="1" si="4"/>
        <v>32.446853520407075</v>
      </c>
      <c r="H67" s="405">
        <f t="shared" ca="1" si="5"/>
        <v>4.3140317441020326E-4</v>
      </c>
      <c r="I67" s="405">
        <f t="shared" ca="1" si="6"/>
        <v>4.4847486760533575E-4</v>
      </c>
      <c r="J67" s="405">
        <f t="shared" ca="1" si="7"/>
        <v>203.08920228015299</v>
      </c>
      <c r="K67" s="412">
        <f t="shared" ca="1" si="8"/>
        <v>109.95056179782965</v>
      </c>
      <c r="L67" s="415">
        <f t="shared" ca="1" si="9"/>
        <v>693.6122154812906</v>
      </c>
      <c r="M67" s="418">
        <f t="shared" ca="1" si="10"/>
        <v>13.227925567906055</v>
      </c>
    </row>
    <row r="71" spans="2:13" x14ac:dyDescent="0.2">
      <c r="B71" s="24" t="str">
        <f>IF(Lang="Français","Textes pour les graphiques :","Texts for graphics :")</f>
        <v>Textes pour les graphiques :</v>
      </c>
    </row>
    <row r="73" spans="2:13" x14ac:dyDescent="0.2">
      <c r="B73" t="str">
        <f>IF(Lang="Français","Masse totale",IF(Lang="English","Total Mass",""))</f>
        <v>Masse totale</v>
      </c>
    </row>
    <row r="74" spans="2:13" x14ac:dyDescent="0.2">
      <c r="B74" t="str">
        <f>IF(Lang="Français","Vitesse max",IF(Lang="English","Max Velocity",""))</f>
        <v>Vitesse max</v>
      </c>
    </row>
    <row r="75" spans="2:13" x14ac:dyDescent="0.2">
      <c r="B75" t="str">
        <f>Abaco!$B$74 &amp; " / " &amp; Abaco!$B$73</f>
        <v>Vitesse max / Masse totale</v>
      </c>
    </row>
    <row r="76" spans="2:13" x14ac:dyDescent="0.2">
      <c r="B76" t="str">
        <f>IF(Lang="Français","Altitude max",IF(Lang="English","Max Altitude",""))</f>
        <v>Altitude max</v>
      </c>
    </row>
    <row r="77" spans="2:13" x14ac:dyDescent="0.2">
      <c r="B77" t="str">
        <f>Abaco!$B$76 &amp; " / " &amp; Abaco!$B$73</f>
        <v>Altitude max / Masse totale</v>
      </c>
    </row>
    <row r="78" spans="2:13" x14ac:dyDescent="0.2">
      <c r="B78" t="str">
        <f>IF(Lang="Français","Temps de culmination",IF(Lang="English","Apogee time",""))</f>
        <v>Temps de culmination</v>
      </c>
    </row>
    <row r="79" spans="2:13" x14ac:dyDescent="0.2">
      <c r="B79" t="str">
        <f>Abaco!$B$78 &amp; " / " &amp; Abaco!$B$73</f>
        <v>Temps de culmination / Masse totale</v>
      </c>
    </row>
  </sheetData>
  <sheetProtection password="C6AC" sheet="1"/>
  <mergeCells count="12">
    <mergeCell ref="C9:D9"/>
    <mergeCell ref="C2:D3"/>
    <mergeCell ref="C4:D4"/>
    <mergeCell ref="C5:D5"/>
    <mergeCell ref="C7:D7"/>
    <mergeCell ref="C8:D8"/>
    <mergeCell ref="C10:D10"/>
    <mergeCell ref="C12:D12"/>
    <mergeCell ref="C14:D14"/>
    <mergeCell ref="C15:D15"/>
    <mergeCell ref="C16:D16"/>
    <mergeCell ref="C11:D11"/>
  </mergeCells>
  <dataValidations count="3">
    <dataValidation type="decimal" errorStyle="warning" showErrorMessage="1" errorTitle="Cx" error="Le Cx est souvent compris entre 0 et 1._x000a_Cx may be between 0 &amp; 1." sqref="C16:D16" xr:uid="{00000000-0002-0000-0500-000000000000}">
      <formula1>0</formula1>
      <formula2>1</formula2>
    </dataValidation>
    <dataValidation operator="greaterThanOrEqual" sqref="C10:D11" xr:uid="{00000000-0002-0000-0500-000001000000}"/>
    <dataValidation sqref="C12:D12" xr:uid="{00000000-0002-0000-0500-000002000000}"/>
  </dataValidations>
  <hyperlinks>
    <hyperlink ref="B12" location="Stabilito!C17" display="Stabilito!C17" xr:uid="{00000000-0004-0000-0500-000000000000}"/>
  </hyperlinks>
  <pageMargins left="0.70866141732283472" right="0.70866141732283472" top="0.74803149606299213" bottom="0.74803149606299213" header="0.31496062992125984" footer="0.31496062992125984"/>
  <pageSetup paperSize="9" scale="92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4063" r:id="rId4" name="Spinner 31">
              <controlPr defaultSize="0" print="0" autoPict="0">
                <anchor moveWithCells="1" sizeWithCells="1">
                  <from>
                    <xdr:col>3</xdr:col>
                    <xdr:colOff>638175</xdr:colOff>
                    <xdr:row>9</xdr:row>
                    <xdr:rowOff>9525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202" r:id="rId5" name="Spinner 170">
              <controlPr defaultSize="0" print="0" autoPict="0">
                <anchor moveWithCells="1" sizeWithCells="1">
                  <from>
                    <xdr:col>3</xdr:col>
                    <xdr:colOff>638175</xdr:colOff>
                    <xdr:row>10</xdr:row>
                    <xdr:rowOff>9525</xdr:rowOff>
                  </from>
                  <to>
                    <xdr:col>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6">
    <pageSetUpPr fitToPage="1"/>
  </sheetPr>
  <dimension ref="C2:H59"/>
  <sheetViews>
    <sheetView showGridLines="0" workbookViewId="0">
      <selection activeCell="G29" sqref="G29"/>
    </sheetView>
  </sheetViews>
  <sheetFormatPr baseColWidth="10" defaultRowHeight="12.75" x14ac:dyDescent="0.2"/>
  <cols>
    <col min="1" max="1" width="2.140625" customWidth="1"/>
    <col min="2" max="2" width="16.28515625" customWidth="1"/>
    <col min="3" max="4" width="13.42578125" customWidth="1"/>
  </cols>
  <sheetData>
    <row r="2" spans="3:8" x14ac:dyDescent="0.2">
      <c r="C2" s="591" t="s">
        <v>179</v>
      </c>
      <c r="D2" s="591"/>
    </row>
    <row r="3" spans="3:8" x14ac:dyDescent="0.2">
      <c r="C3" s="591"/>
      <c r="D3" s="591"/>
    </row>
    <row r="5" spans="3:8" x14ac:dyDescent="0.2">
      <c r="C5" s="13" t="str">
        <f>IF(Lang="Français","Stabilité de fusée à ailerons","Stability of finned rocket")</f>
        <v>Stabilité de fusée à ailerons</v>
      </c>
    </row>
    <row r="6" spans="3:8" x14ac:dyDescent="0.2">
      <c r="C6" s="2" t="str">
        <f>IF(Lang="Français","Calculs de Stabilité basés sur les équations de Barrowman","Stability calculs are based on Barrowman equations")</f>
        <v>Calculs de Stabilité basés sur les équations de Barrowman</v>
      </c>
    </row>
    <row r="7" spans="3:8" x14ac:dyDescent="0.2">
      <c r="C7" s="13" t="str">
        <f>IF(Lang="Français","Trajectographie de fusée","Rocket Trajectography")</f>
        <v>Trajectographie de fusée</v>
      </c>
    </row>
    <row r="8" spans="3:8" x14ac:dyDescent="0.2">
      <c r="C8" s="2" t="str">
        <f>IF(Lang="Français","Trajectoire dans un plan par calcul pas à pas","Trajectory in a plane, step by step computation")</f>
        <v>Trajectoire dans un plan par calcul pas à pas</v>
      </c>
    </row>
    <row r="9" spans="3:8" x14ac:dyDescent="0.2">
      <c r="C9" s="2"/>
    </row>
    <row r="10" spans="3:8" x14ac:dyDescent="0.2">
      <c r="C10" s="14" t="str">
        <f>IF(Lang="Français","Documentation et équations :","Documentation and equations are aviable in french:")</f>
        <v>Documentation et équations :</v>
      </c>
    </row>
    <row r="11" spans="3:8" x14ac:dyDescent="0.2">
      <c r="C11" t="str">
        <f>IF(Lang="Français","voir le dossier technique Planète-Sciences ''Le Vol de la Fusée, Stabilité &amp; Trajectographie''","dossier technique Planète-Sciences ''Le Vol de la Fusée, Stabilité &amp; Trajectographie''")</f>
        <v>voir le dossier technique Planète-Sciences ''Le Vol de la Fusée, Stabilité &amp; Trajectographie''</v>
      </c>
    </row>
    <row r="12" spans="3:8" x14ac:dyDescent="0.2">
      <c r="C12" t="str">
        <f>IF(Lang="Français","Néanmoins, les équations d'intégration du mouvement utilisées sont légèrement différentes !","")</f>
        <v>Néanmoins, les équations d'intégration du mouvement utilisées sont légèrement différentes !</v>
      </c>
    </row>
    <row r="13" spans="3:8" x14ac:dyDescent="0.2">
      <c r="C13" t="str">
        <f>IF(Lang="Français","Logiciels et dossier technique téléchargeables sur :","Softwares and french documentation can be downloaded at:")</f>
        <v>Logiciels et dossier technique téléchargeables sur :</v>
      </c>
      <c r="H13" s="15" t="s">
        <v>40</v>
      </c>
    </row>
    <row r="15" spans="3:8" x14ac:dyDescent="0.2">
      <c r="C15" s="14" t="str">
        <f>IF(Lang="Français","Pour les experts :","For experts:")</f>
        <v>Pour les experts :</v>
      </c>
    </row>
    <row r="16" spans="3:8" x14ac:dyDescent="0.2">
      <c r="C16" t="str">
        <f>IF(Lang="Français","Pour les curieux et les experts, vous pouvez déprotéger les feuilles de calcul (mot de passe : anstj),","Curious people can unlock excel sheets with this password : anstj")</f>
        <v>Pour les curieux et les experts, vous pouvez déprotéger les feuilles de calcul (mot de passe : anstj),</v>
      </c>
    </row>
    <row r="17" spans="3:8" x14ac:dyDescent="0.2">
      <c r="C17" t="str">
        <f>IF(Lang="Français","et faire vos modifications personnelles (ajout de moteur...).","and do your personal modification (adding a motor...)")</f>
        <v>et faire vos modifications personnelles (ajout de moteur...).</v>
      </c>
    </row>
    <row r="18" spans="3:8" x14ac:dyDescent="0.2">
      <c r="C18" t="s">
        <v>419</v>
      </c>
    </row>
    <row r="19" spans="3:8" x14ac:dyDescent="0.2">
      <c r="C19" t="str">
        <f>IF(Lang="Français","Merci néanmoins de diffuser uniquement la version officielle protégée (fichier initial).","Please avoid distributing unlocked version.")</f>
        <v>Merci néanmoins de diffuser uniquement la version officielle protégée (fichier initial).</v>
      </c>
    </row>
    <row r="20" spans="3:8" x14ac:dyDescent="0.2">
      <c r="C20" t="str">
        <f>IF(Lang="Français","Aucune Macro. Mise en forme conditionnelle, Noms de zone.","No macro. Conditionnal formating, named zones.")</f>
        <v>Aucune Macro. Mise en forme conditionnelle, Noms de zone.</v>
      </c>
    </row>
    <row r="21" spans="3:8" x14ac:dyDescent="0.2">
      <c r="C21" s="48" t="str">
        <f>IF(Lang="Français","Pour changer les choix des menus déroulants et les restrictions des cellules jaunes, cf. Données&gt; Validations…", "To change choices menu &amp; yellow cells restrictions, go to data validation.")</f>
        <v>Pour changer les choix des menus déroulants et les restrictions des cellules jaunes, cf. Données&gt; Validations…</v>
      </c>
    </row>
    <row r="22" spans="3:8" x14ac:dyDescent="0.2">
      <c r="C22" s="48" t="str">
        <f>IF(Lang="Français","Les unités sont réglés dans le Format de la cellule.","Units are set in cell number Format")</f>
        <v>Les unités sont réglés dans le Format de la cellule.</v>
      </c>
      <c r="H22" s="15" t="s">
        <v>38</v>
      </c>
    </row>
    <row r="23" spans="3:8" x14ac:dyDescent="0.2">
      <c r="C23" t="str">
        <f>IF(Lang="Français","Vous pouvez proposer vos améliorations en envoyant votre fichier à : ","Send all remarks and improvements proposals to:")</f>
        <v xml:space="preserve">Vous pouvez proposer vos améliorations en envoyant votre fichier à : </v>
      </c>
      <c r="H23" s="15"/>
    </row>
    <row r="25" spans="3:8" x14ac:dyDescent="0.2">
      <c r="C25" s="14" t="str">
        <f>IF(Lang="Français","Licence :","License:")</f>
        <v>Licence :</v>
      </c>
      <c r="D25" s="16"/>
    </row>
    <row r="26" spans="3:8" x14ac:dyDescent="0.2">
      <c r="C26" t="str">
        <f>IF(Lang="Français","Ce logiciel est placé sous la licence Creative Commons BY-SA","This software is placed under Creative Commons licence BY-SA")</f>
        <v>Ce logiciel est placé sous la licence Creative Commons BY-SA</v>
      </c>
      <c r="H26" s="68" t="s">
        <v>123</v>
      </c>
    </row>
    <row r="28" spans="3:8" x14ac:dyDescent="0.2">
      <c r="C28" s="14" t="str">
        <f>IF(Lang="Français","Compatibilité :","Compatibility:")</f>
        <v>Compatibilité :</v>
      </c>
    </row>
    <row r="29" spans="3:8" x14ac:dyDescent="0.2">
      <c r="C29" t="s">
        <v>153</v>
      </c>
    </row>
    <row r="30" spans="3:8" x14ac:dyDescent="0.2">
      <c r="C30" t="s">
        <v>300</v>
      </c>
    </row>
    <row r="31" spans="3:8" x14ac:dyDescent="0.2">
      <c r="C31" s="49" t="s">
        <v>111</v>
      </c>
    </row>
    <row r="33" spans="3:6" x14ac:dyDescent="0.2">
      <c r="C33" s="14" t="str">
        <f>IF(Lang="Français","Historique :","History:")</f>
        <v>Historique :</v>
      </c>
    </row>
    <row r="34" spans="3:6" x14ac:dyDescent="0.2">
      <c r="C34" t="s">
        <v>103</v>
      </c>
      <c r="D34" t="s">
        <v>43</v>
      </c>
      <c r="E34" s="47" t="s">
        <v>102</v>
      </c>
      <c r="F34" t="str">
        <f>IF(Lang="Français","Essais personnels, héritage d'une feuille de calcul de Vincent Girard, ESO","Personnel tests")</f>
        <v>Essais personnels, héritage d'une feuille de calcul de Vincent Girard, ESO</v>
      </c>
    </row>
    <row r="35" spans="3:6" x14ac:dyDescent="0.2">
      <c r="C35" t="s">
        <v>104</v>
      </c>
      <c r="D35" t="s">
        <v>43</v>
      </c>
      <c r="E35" s="16">
        <v>39483</v>
      </c>
      <c r="F35" t="str">
        <f>IF(Lang="Français","Equations de Barrowman généralisées (D_ref), masquage inter-ailerons, bilingue fr-en","Generalized Barrowman equations (D_ref), fin-fin interaction, english translation")</f>
        <v>Equations de Barrowman généralisées (D_ref), masquage inter-ailerons, bilingue fr-en</v>
      </c>
    </row>
    <row r="36" spans="3:6" x14ac:dyDescent="0.2">
      <c r="C36" t="s">
        <v>105</v>
      </c>
      <c r="D36" t="s">
        <v>43</v>
      </c>
      <c r="E36" s="16">
        <v>39507</v>
      </c>
      <c r="F36" t="str">
        <f>IF(Lang="Français","Schéma de la fusée, estimation analytique de la trajecto, diagramme des critères","Rocket schematic, analytical trajecto, criterions diagram")</f>
        <v>Schéma de la fusée, estimation analytique de la trajecto, diagramme des critères</v>
      </c>
    </row>
    <row r="37" spans="3:6" x14ac:dyDescent="0.2">
      <c r="C37" t="s">
        <v>106</v>
      </c>
      <c r="D37" t="s">
        <v>43</v>
      </c>
      <c r="E37" s="16">
        <v>39694</v>
      </c>
      <c r="F37" t="str">
        <f>IF(Lang="Français","Mise en forme","Formatting")</f>
        <v>Mise en forme</v>
      </c>
    </row>
    <row r="38" spans="3:6" x14ac:dyDescent="0.2">
      <c r="C38" t="s">
        <v>107</v>
      </c>
      <c r="D38" t="s">
        <v>43</v>
      </c>
      <c r="E38" s="16">
        <v>39643</v>
      </c>
      <c r="F38" t="str">
        <f>IF(Lang="Français","Essais personnels, héritage d'une feuille de calcul de Félicien Roux, ESO","Personal tests")</f>
        <v>Essais personnels, héritage d'une feuille de calcul de Félicien Roux, ESO</v>
      </c>
    </row>
    <row r="39" spans="3:6" x14ac:dyDescent="0.2">
      <c r="C39" t="s">
        <v>108</v>
      </c>
      <c r="D39" t="s">
        <v>43</v>
      </c>
      <c r="E39" s="16">
        <v>39755</v>
      </c>
      <c r="F39" t="str">
        <f>IF(Lang="Français","Réécriture équations, traduction, érgonomie","Equations, traduction, ergonomy")</f>
        <v>Réécriture équations, traduction, érgonomie</v>
      </c>
    </row>
    <row r="40" spans="3:6" x14ac:dyDescent="0.2">
      <c r="C40" t="s">
        <v>109</v>
      </c>
      <c r="D40" t="s">
        <v>43</v>
      </c>
      <c r="E40" s="16">
        <v>39756</v>
      </c>
      <c r="F40" t="str">
        <f>IF(Lang="Français","Conditions Initiales pour vol 2e étage, 1ère publication","Initial Conditions, 1st publication")</f>
        <v>Conditions Initiales pour vol 2e étage, 1ère publication</v>
      </c>
    </row>
    <row r="41" spans="3:6" x14ac:dyDescent="0.2">
      <c r="C41" t="s">
        <v>110</v>
      </c>
      <c r="D41" t="s">
        <v>43</v>
      </c>
      <c r="E41" s="16">
        <v>40658</v>
      </c>
      <c r="F41" t="s">
        <v>53</v>
      </c>
    </row>
    <row r="42" spans="3:6" x14ac:dyDescent="0.2">
      <c r="C42" t="s">
        <v>180</v>
      </c>
      <c r="D42" t="s">
        <v>43</v>
      </c>
      <c r="E42" s="16">
        <v>40868</v>
      </c>
      <c r="F42" t="str">
        <f>IF(Lang="Français","Fusion Stabilito+Trajecto, mise en forme, Ctrl, RC, H2O, Abaco","Merge Stabilito+Trajecto, formatting, Ctrl, RC, H2O, Abaco")</f>
        <v>Fusion Stabilito+Trajecto, mise en forme, Ctrl, RC, H2O, Abaco</v>
      </c>
    </row>
    <row r="43" spans="3:6" x14ac:dyDescent="0.2">
      <c r="C43" t="s">
        <v>327</v>
      </c>
      <c r="D43" t="s">
        <v>43</v>
      </c>
      <c r="E43" s="16">
        <v>41194</v>
      </c>
      <c r="F43" t="s">
        <v>331</v>
      </c>
    </row>
    <row r="44" spans="3:6" x14ac:dyDescent="0.2">
      <c r="C44" t="s">
        <v>328</v>
      </c>
      <c r="D44" t="s">
        <v>43</v>
      </c>
      <c r="E44" s="16">
        <v>41329</v>
      </c>
      <c r="F44" t="s">
        <v>332</v>
      </c>
    </row>
    <row r="45" spans="3:6" x14ac:dyDescent="0.2">
      <c r="C45" t="s">
        <v>416</v>
      </c>
      <c r="D45" t="s">
        <v>395</v>
      </c>
      <c r="E45" s="16">
        <v>41947</v>
      </c>
      <c r="F45" t="s">
        <v>415</v>
      </c>
    </row>
    <row r="46" spans="3:6" x14ac:dyDescent="0.2">
      <c r="C46" t="s">
        <v>420</v>
      </c>
      <c r="D46" t="s">
        <v>395</v>
      </c>
      <c r="E46" s="16">
        <v>41965</v>
      </c>
      <c r="F46" t="s">
        <v>418</v>
      </c>
    </row>
    <row r="47" spans="3:6" x14ac:dyDescent="0.2">
      <c r="C47" t="s">
        <v>542</v>
      </c>
      <c r="D47" t="s">
        <v>395</v>
      </c>
      <c r="E47" s="16">
        <v>43048</v>
      </c>
      <c r="F47" t="s">
        <v>543</v>
      </c>
    </row>
    <row r="48" spans="3:6" x14ac:dyDescent="0.2">
      <c r="C48" t="s">
        <v>547</v>
      </c>
      <c r="D48" t="s">
        <v>395</v>
      </c>
      <c r="E48" s="16">
        <v>44160</v>
      </c>
      <c r="F48" t="s">
        <v>548</v>
      </c>
    </row>
    <row r="49" spans="3:6" x14ac:dyDescent="0.2">
      <c r="E49" s="16"/>
    </row>
    <row r="51" spans="3:6" x14ac:dyDescent="0.2">
      <c r="C51" s="14" t="str">
        <f>IF(Lang="Français","Paramètres de référence :","Reference parameters:")</f>
        <v>Paramètres de référence :</v>
      </c>
    </row>
    <row r="52" spans="3:6" x14ac:dyDescent="0.2">
      <c r="C52" s="62" t="str">
        <f>IF(Lang="Français","Gravité g :","Gravity g")</f>
        <v>Gravité g :</v>
      </c>
      <c r="E52" s="62">
        <v>9.81</v>
      </c>
      <c r="F52" s="62" t="s">
        <v>7</v>
      </c>
    </row>
    <row r="53" spans="3:6" x14ac:dyDescent="0.2">
      <c r="C53" s="62" t="str">
        <f>IF(Lang="Français","Masse volumique de l'air ρ :","Air density ρ")</f>
        <v>Masse volumique de l'air ρ :</v>
      </c>
      <c r="E53" s="63">
        <v>1.2250000000000001</v>
      </c>
      <c r="F53" s="62" t="s">
        <v>8</v>
      </c>
    </row>
    <row r="54" spans="3:6" x14ac:dyDescent="0.2">
      <c r="C54" s="48"/>
    </row>
    <row r="55" spans="3:6" x14ac:dyDescent="0.2">
      <c r="C55" s="48"/>
    </row>
    <row r="56" spans="3:6" x14ac:dyDescent="0.2">
      <c r="C56" s="48"/>
    </row>
    <row r="57" spans="3:6" x14ac:dyDescent="0.2">
      <c r="C57" s="48"/>
    </row>
    <row r="58" spans="3:6" x14ac:dyDescent="0.2">
      <c r="C58" s="48"/>
    </row>
    <row r="59" spans="3:6" x14ac:dyDescent="0.2">
      <c r="C59" s="48"/>
    </row>
  </sheetData>
  <sheetProtection password="C6AC" sheet="1" objects="1" scenarios="1"/>
  <mergeCells count="1">
    <mergeCell ref="C2:D3"/>
  </mergeCells>
  <phoneticPr fontId="8" type="noConversion"/>
  <hyperlinks>
    <hyperlink ref="H13" r:id="rId1" xr:uid="{00000000-0004-0000-0600-000000000000}"/>
    <hyperlink ref="H22" r:id="rId2" xr:uid="{00000000-0004-0000-0600-000001000000}"/>
    <hyperlink ref="H26" r:id="rId3" xr:uid="{00000000-0004-0000-0600-000002000000}"/>
  </hyperlinks>
  <pageMargins left="0.39370078740157483" right="0.39370078740157483" top="0.39370078740157483" bottom="0.39370078740157483" header="0" footer="0"/>
  <pageSetup scale="73" firstPageNumber="0" orientation="portrait" horizontalDpi="300" verticalDpi="300" r:id="rId4"/>
  <headerFooter alignWithMargins="0"/>
  <drawing r:id="rId5"/>
  <legacy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7">
    <pageSetUpPr fitToPage="1"/>
  </sheetPr>
  <dimension ref="B1:U134"/>
  <sheetViews>
    <sheetView showGridLines="0" topLeftCell="D1" zoomScaleNormal="100" workbookViewId="0">
      <selection activeCell="H4" sqref="H4"/>
    </sheetView>
  </sheetViews>
  <sheetFormatPr baseColWidth="10" defaultColWidth="11.42578125" defaultRowHeight="12.75" x14ac:dyDescent="0.2"/>
  <cols>
    <col min="1" max="2" width="2.140625" customWidth="1"/>
    <col min="3" max="3" width="12.42578125" customWidth="1"/>
    <col min="4" max="4" width="21" customWidth="1"/>
    <col min="7" max="7" width="26.42578125" customWidth="1"/>
    <col min="8" max="9" width="6.7109375" customWidth="1"/>
    <col min="10" max="10" width="10" customWidth="1"/>
    <col min="11" max="11" width="13" customWidth="1"/>
    <col min="12" max="12" width="21.28515625" customWidth="1"/>
    <col min="14" max="14" width="2.140625" customWidth="1"/>
    <col min="18" max="19" width="16.28515625" customWidth="1"/>
  </cols>
  <sheetData>
    <row r="1" spans="2:21" ht="13.5" thickBot="1" x14ac:dyDescent="0.25">
      <c r="O1" s="6"/>
      <c r="P1" s="48"/>
      <c r="Q1" s="48"/>
      <c r="R1" s="48"/>
      <c r="S1" s="48"/>
      <c r="T1" s="48"/>
      <c r="U1" s="48"/>
    </row>
    <row r="2" spans="2:21" ht="13.5" thickBot="1" x14ac:dyDescent="0.25">
      <c r="B2" s="71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3"/>
      <c r="O2" s="6"/>
      <c r="P2" s="48"/>
      <c r="Q2" s="48"/>
      <c r="R2" s="48"/>
      <c r="S2" s="48"/>
      <c r="T2" s="48"/>
      <c r="U2" s="48"/>
    </row>
    <row r="3" spans="2:21" ht="15.75" customHeight="1" thickBot="1" x14ac:dyDescent="0.25">
      <c r="B3" s="74"/>
      <c r="D3" s="2" t="s">
        <v>429</v>
      </c>
      <c r="N3" s="75"/>
      <c r="O3" s="6"/>
      <c r="P3" s="273" t="s">
        <v>340</v>
      </c>
      <c r="Q3" s="441">
        <f>Long_ogive</f>
        <v>1</v>
      </c>
      <c r="R3" s="48"/>
      <c r="S3" s="48"/>
      <c r="T3" s="48"/>
      <c r="U3" s="48"/>
    </row>
    <row r="4" spans="2:21" ht="15.75" customHeight="1" x14ac:dyDescent="0.2">
      <c r="B4" s="74"/>
      <c r="D4" s="2"/>
      <c r="N4" s="75"/>
      <c r="O4" s="6"/>
      <c r="P4" s="273"/>
      <c r="Q4" s="436"/>
      <c r="R4" s="48"/>
      <c r="S4" s="48"/>
      <c r="T4" s="48"/>
      <c r="U4" s="48"/>
    </row>
    <row r="5" spans="2:21" ht="15.75" customHeight="1" x14ac:dyDescent="0.2">
      <c r="B5" s="74"/>
      <c r="D5" t="s">
        <v>462</v>
      </c>
      <c r="E5" t="str">
        <f>Propu</f>
        <v>Barasinga (Pro54-5G C)</v>
      </c>
      <c r="G5" t="s">
        <v>459</v>
      </c>
      <c r="H5">
        <f>MasseSans</f>
        <v>6.2</v>
      </c>
      <c r="N5" s="75"/>
      <c r="O5" s="6"/>
      <c r="P5" s="273"/>
      <c r="Q5" s="436"/>
      <c r="R5" s="48"/>
      <c r="S5" s="48"/>
      <c r="T5" s="48"/>
      <c r="U5" s="48"/>
    </row>
    <row r="6" spans="2:21" x14ac:dyDescent="0.2">
      <c r="B6" s="74"/>
      <c r="D6" t="s">
        <v>455</v>
      </c>
      <c r="E6" s="2" t="str">
        <f>Trajecto!H32</f>
        <v>gris/rouge</v>
      </c>
      <c r="G6" t="s">
        <v>460</v>
      </c>
      <c r="H6">
        <f>D_ref</f>
        <v>104</v>
      </c>
      <c r="N6" s="75"/>
      <c r="O6" s="6"/>
      <c r="P6" s="273"/>
      <c r="Q6" s="436"/>
      <c r="R6" s="48"/>
      <c r="S6" s="48"/>
      <c r="T6" s="48"/>
      <c r="U6" s="48"/>
    </row>
    <row r="7" spans="2:21" x14ac:dyDescent="0.2">
      <c r="B7" s="74"/>
      <c r="D7" t="s">
        <v>457</v>
      </c>
      <c r="E7" s="2" t="str">
        <f>Trajecto!H33</f>
        <v>rose</v>
      </c>
      <c r="G7" t="s">
        <v>5</v>
      </c>
      <c r="H7">
        <f>Cx</f>
        <v>0.5</v>
      </c>
      <c r="N7" s="75"/>
      <c r="O7" s="6"/>
      <c r="P7" s="273"/>
      <c r="Q7" s="436"/>
      <c r="R7" s="48"/>
      <c r="S7" s="48"/>
      <c r="T7" s="48"/>
      <c r="U7" s="48"/>
    </row>
    <row r="8" spans="2:21" x14ac:dyDescent="0.2">
      <c r="B8" s="74"/>
      <c r="D8" t="s">
        <v>458</v>
      </c>
      <c r="E8" s="2">
        <f>S_para</f>
        <v>0.24</v>
      </c>
      <c r="G8" t="s">
        <v>461</v>
      </c>
      <c r="H8">
        <f>L_rampe</f>
        <v>4</v>
      </c>
      <c r="N8" s="75"/>
      <c r="O8" s="6"/>
      <c r="P8" s="273"/>
      <c r="Q8" s="436"/>
      <c r="R8" s="48"/>
      <c r="S8" s="48"/>
      <c r="T8" s="48"/>
      <c r="U8" s="48"/>
    </row>
    <row r="9" spans="2:21" x14ac:dyDescent="0.2">
      <c r="B9" s="74"/>
      <c r="D9" t="s">
        <v>456</v>
      </c>
      <c r="E9" s="2"/>
      <c r="G9" t="s">
        <v>147</v>
      </c>
      <c r="H9" s="534" t="str">
        <f>Forme_ogive</f>
        <v>Conique (droite)</v>
      </c>
      <c r="N9" s="75"/>
      <c r="O9" s="6"/>
      <c r="P9" s="273"/>
      <c r="Q9" s="436"/>
      <c r="R9" s="48"/>
      <c r="S9" s="48"/>
      <c r="T9" s="48"/>
      <c r="U9" s="48"/>
    </row>
    <row r="10" spans="2:21" x14ac:dyDescent="0.2">
      <c r="B10" s="74"/>
      <c r="F10" s="3"/>
      <c r="G10" s="6"/>
      <c r="N10" s="75"/>
      <c r="O10" s="523"/>
      <c r="P10" s="48"/>
      <c r="Q10" s="436"/>
      <c r="R10" s="48"/>
      <c r="S10" s="48"/>
      <c r="T10" s="48"/>
      <c r="U10" s="48"/>
    </row>
    <row r="11" spans="2:21" ht="13.5" thickBot="1" x14ac:dyDescent="0.25">
      <c r="B11" s="74"/>
      <c r="C11" s="12"/>
      <c r="D11" s="275" t="s">
        <v>454</v>
      </c>
      <c r="E11" s="243">
        <f>MasseSans</f>
        <v>6.2</v>
      </c>
      <c r="F11" s="246" t="s">
        <v>124</v>
      </c>
      <c r="G11" s="246" t="s">
        <v>126</v>
      </c>
      <c r="H11" s="662">
        <f ca="1">Vsortie_de_rampe</f>
        <v>27.59094281243793</v>
      </c>
      <c r="I11" s="663"/>
      <c r="J11" s="76"/>
      <c r="N11" s="75"/>
      <c r="P11" s="48"/>
      <c r="Q11" s="436"/>
      <c r="R11" s="48"/>
      <c r="S11" s="48"/>
      <c r="T11" s="48"/>
      <c r="U11" s="440">
        <f>IF(RIGHT(Nb_diam,1)=",", "", X_j)</f>
        <v>1</v>
      </c>
    </row>
    <row r="12" spans="2:21" ht="13.5" thickBot="1" x14ac:dyDescent="0.25">
      <c r="B12" s="74"/>
      <c r="C12" s="12"/>
      <c r="D12" s="276"/>
      <c r="E12" s="244"/>
      <c r="F12" s="6" t="s">
        <v>124</v>
      </c>
      <c r="G12" s="6" t="s">
        <v>127</v>
      </c>
      <c r="H12" s="664">
        <f>Finesse</f>
        <v>9.9519230769230766</v>
      </c>
      <c r="I12" s="665"/>
      <c r="J12" s="76"/>
      <c r="N12" s="75"/>
      <c r="O12" s="6"/>
      <c r="P12" s="273" t="s">
        <v>341</v>
      </c>
      <c r="Q12" s="441">
        <f>D_og</f>
        <v>84</v>
      </c>
      <c r="R12" s="48"/>
      <c r="S12" s="48"/>
      <c r="T12" s="48"/>
      <c r="U12" s="436"/>
    </row>
    <row r="13" spans="2:21" x14ac:dyDescent="0.2">
      <c r="B13" s="74"/>
      <c r="C13" s="12"/>
      <c r="D13" s="276" t="s">
        <v>5</v>
      </c>
      <c r="E13" s="244">
        <f>Cx</f>
        <v>0.5</v>
      </c>
      <c r="F13" s="6" t="s">
        <v>124</v>
      </c>
      <c r="G13" s="6" t="s">
        <v>433</v>
      </c>
      <c r="H13" s="664">
        <f>Cn</f>
        <v>14.551111963633765</v>
      </c>
      <c r="I13" s="665"/>
      <c r="J13" s="76"/>
      <c r="N13" s="75"/>
      <c r="O13" s="6"/>
      <c r="P13" s="48"/>
      <c r="Q13" s="436"/>
      <c r="R13" s="48"/>
      <c r="S13" s="48"/>
      <c r="T13" s="48"/>
      <c r="U13" s="440">
        <f>IF(RIGHT(Nb_diam,1)=",", "", X_r)</f>
        <v>0</v>
      </c>
    </row>
    <row r="14" spans="2:21" x14ac:dyDescent="0.2">
      <c r="B14" s="74"/>
      <c r="C14" s="12"/>
      <c r="D14" s="276" t="s">
        <v>144</v>
      </c>
      <c r="E14" s="244">
        <f>L_rampe</f>
        <v>4</v>
      </c>
      <c r="F14" s="6" t="s">
        <v>124</v>
      </c>
      <c r="G14" s="6" t="s">
        <v>128</v>
      </c>
      <c r="H14" s="247">
        <f ca="1">MS_min</f>
        <v>3.7345101082296499</v>
      </c>
      <c r="I14" s="254">
        <f ca="1">MS_max</f>
        <v>4.3557476552540386</v>
      </c>
      <c r="J14" s="76"/>
      <c r="K14" s="76"/>
      <c r="N14" s="75"/>
      <c r="P14" s="48"/>
      <c r="Q14" s="436"/>
      <c r="R14" s="48"/>
      <c r="S14" s="48"/>
      <c r="T14" s="48"/>
      <c r="U14" s="436"/>
    </row>
    <row r="15" spans="2:21" x14ac:dyDescent="0.2">
      <c r="B15" s="74"/>
      <c r="C15" s="12"/>
      <c r="D15" s="276" t="s">
        <v>145</v>
      </c>
      <c r="E15" s="244">
        <f>ep_ail</f>
        <v>3</v>
      </c>
      <c r="F15" s="6" t="s">
        <v>124</v>
      </c>
      <c r="G15" s="6" t="s">
        <v>125</v>
      </c>
      <c r="H15" s="247">
        <f ca="1">MS_Cn_min</f>
        <v>54.341274714171689</v>
      </c>
      <c r="I15" s="254">
        <f ca="1">MS_Cn_max</f>
        <v>63.380971816936764</v>
      </c>
      <c r="J15" s="76"/>
      <c r="K15" s="76"/>
      <c r="N15" s="75"/>
      <c r="P15" s="48"/>
      <c r="Q15" s="436"/>
      <c r="R15" s="48"/>
      <c r="S15" s="48"/>
      <c r="T15" s="48"/>
    </row>
    <row r="16" spans="2:21" x14ac:dyDescent="0.2">
      <c r="B16" s="74"/>
      <c r="C16" s="12"/>
      <c r="D16" s="276" t="s">
        <v>146</v>
      </c>
      <c r="E16" s="244">
        <f>Q_ail</f>
        <v>4</v>
      </c>
      <c r="F16" s="6" t="s">
        <v>129</v>
      </c>
      <c r="G16" s="6" t="s">
        <v>130</v>
      </c>
      <c r="H16" s="247">
        <f ca="1">V_para</f>
        <v>21.383781762096707</v>
      </c>
      <c r="I16" s="253">
        <f>V_satellite</f>
        <v>12.655562623057198</v>
      </c>
      <c r="J16" s="76"/>
      <c r="N16" s="75"/>
      <c r="P16" s="48"/>
      <c r="Q16" s="436"/>
      <c r="R16" s="48"/>
      <c r="S16" s="48"/>
      <c r="T16" s="48"/>
      <c r="U16" s="440">
        <f>IF(RIGHT(Nb_diam,1)=",", "", l_j)</f>
        <v>50</v>
      </c>
    </row>
    <row r="17" spans="2:21" x14ac:dyDescent="0.2">
      <c r="B17" s="74"/>
      <c r="C17" s="12"/>
      <c r="D17" s="276" t="s">
        <v>147</v>
      </c>
      <c r="E17" s="272" t="str">
        <f>Forme_ogive</f>
        <v>Conique (droite)</v>
      </c>
      <c r="F17" s="6" t="s">
        <v>131</v>
      </c>
      <c r="G17" s="6" t="s">
        <v>132</v>
      </c>
      <c r="H17" s="664">
        <f>T_para</f>
        <v>21.8</v>
      </c>
      <c r="I17" s="665"/>
      <c r="J17" s="258"/>
      <c r="N17" s="75"/>
      <c r="P17" s="434" t="s">
        <v>342</v>
      </c>
      <c r="Q17" s="440">
        <f>IF(RIGHT(Nb_diam,1)=",", "", D2j)</f>
        <v>104</v>
      </c>
      <c r="R17" s="48"/>
      <c r="S17" s="48"/>
      <c r="T17" s="48"/>
      <c r="U17" s="436"/>
    </row>
    <row r="18" spans="2:21" x14ac:dyDescent="0.2">
      <c r="B18" s="74"/>
      <c r="C18" s="12"/>
      <c r="D18" s="276" t="s">
        <v>149</v>
      </c>
      <c r="E18" s="244">
        <f ca="1">XpropuRef-Long_propu</f>
        <v>547</v>
      </c>
      <c r="F18" s="12" t="s">
        <v>131</v>
      </c>
      <c r="G18" s="12" t="s">
        <v>427</v>
      </c>
      <c r="H18" s="594">
        <f ca="1">T_para-Combustion-Depotage</f>
        <v>21.8</v>
      </c>
      <c r="I18" s="670"/>
      <c r="N18" s="75"/>
      <c r="P18" s="48"/>
      <c r="Q18" s="436"/>
      <c r="R18" s="48"/>
      <c r="S18" s="48"/>
    </row>
    <row r="19" spans="2:21" x14ac:dyDescent="0.2">
      <c r="B19" s="74"/>
      <c r="C19" s="533"/>
      <c r="D19" s="269"/>
      <c r="E19" s="271"/>
      <c r="F19" s="521" t="s">
        <v>133</v>
      </c>
      <c r="G19" s="274" t="s">
        <v>426</v>
      </c>
      <c r="H19" s="671">
        <f ca="1">Portee_balistique</f>
        <v>539.267207314762</v>
      </c>
      <c r="I19" s="672"/>
      <c r="N19" s="75"/>
      <c r="P19" s="48"/>
      <c r="Q19" s="436"/>
      <c r="R19" s="48"/>
      <c r="S19" s="48"/>
      <c r="T19" s="48"/>
    </row>
    <row r="20" spans="2:21" x14ac:dyDescent="0.2">
      <c r="B20" s="74"/>
      <c r="C20" s="12"/>
      <c r="D20" s="6"/>
      <c r="E20" s="6"/>
      <c r="H20" s="520"/>
      <c r="I20" s="520"/>
      <c r="N20" s="75"/>
      <c r="P20" s="48"/>
      <c r="Q20" s="436"/>
      <c r="R20" s="48"/>
      <c r="S20" s="48"/>
      <c r="T20" s="48"/>
      <c r="U20" s="440">
        <f>IF(RIGHT(Nb_diam,1)=",", "", l_r)</f>
        <v>50</v>
      </c>
    </row>
    <row r="21" spans="2:21" x14ac:dyDescent="0.2">
      <c r="B21" s="74"/>
      <c r="C21" s="12"/>
      <c r="D21" s="6"/>
      <c r="E21" s="263"/>
      <c r="F21" s="3"/>
      <c r="G21" s="6"/>
      <c r="H21" s="520"/>
      <c r="I21" s="520"/>
      <c r="N21" s="75"/>
      <c r="O21" s="273"/>
      <c r="P21" s="436"/>
      <c r="Q21" s="48"/>
      <c r="R21" s="48"/>
      <c r="S21" s="48"/>
      <c r="T21" s="226"/>
      <c r="U21" s="436"/>
    </row>
    <row r="22" spans="2:21" x14ac:dyDescent="0.2">
      <c r="B22" s="74"/>
      <c r="C22" s="528" t="s">
        <v>453</v>
      </c>
      <c r="D22" s="528" t="s">
        <v>437</v>
      </c>
      <c r="E22" s="529"/>
      <c r="F22" s="530" t="s">
        <v>442</v>
      </c>
      <c r="G22" s="528" t="s">
        <v>447</v>
      </c>
      <c r="I22" s="531"/>
      <c r="J22" s="532" t="s">
        <v>157</v>
      </c>
      <c r="K22" s="528" t="s">
        <v>158</v>
      </c>
      <c r="N22" s="75"/>
      <c r="O22" s="273"/>
      <c r="P22" s="436"/>
      <c r="Q22" s="48"/>
      <c r="R22" s="48"/>
      <c r="S22" s="48"/>
      <c r="T22" s="226"/>
      <c r="U22" s="436"/>
    </row>
    <row r="23" spans="2:21" x14ac:dyDescent="0.2">
      <c r="B23" s="74"/>
      <c r="C23" s="528" t="s">
        <v>452</v>
      </c>
      <c r="D23" s="529">
        <f>XcgSans</f>
        <v>260</v>
      </c>
      <c r="E23" s="529" t="s">
        <v>39</v>
      </c>
      <c r="F23" s="530">
        <f>m_ail</f>
        <v>190</v>
      </c>
      <c r="G23" s="528">
        <f>m_can</f>
        <v>70</v>
      </c>
      <c r="I23" s="531" t="s">
        <v>448</v>
      </c>
      <c r="J23" s="530">
        <f>l_j</f>
        <v>50</v>
      </c>
      <c r="K23" s="528">
        <f>l_r</f>
        <v>50</v>
      </c>
      <c r="N23" s="75"/>
      <c r="O23" s="273"/>
      <c r="P23" s="436"/>
      <c r="Q23" s="48"/>
      <c r="R23" s="48"/>
      <c r="S23" s="48"/>
      <c r="T23" s="226"/>
      <c r="U23" s="436"/>
    </row>
    <row r="24" spans="2:21" x14ac:dyDescent="0.2">
      <c r="B24" s="74"/>
      <c r="C24" s="528" t="s">
        <v>440</v>
      </c>
      <c r="D24" s="528">
        <f>Long_tot</f>
        <v>1035</v>
      </c>
      <c r="E24" s="529" t="s">
        <v>443</v>
      </c>
      <c r="F24" s="530">
        <f>n_ail</f>
        <v>60</v>
      </c>
      <c r="G24" s="528">
        <f>n_can</f>
        <v>10</v>
      </c>
      <c r="I24" s="531" t="s">
        <v>449</v>
      </c>
      <c r="J24" s="530">
        <f>D1j</f>
        <v>84</v>
      </c>
      <c r="K24" s="528">
        <f>D1r</f>
        <v>84</v>
      </c>
      <c r="N24" s="75"/>
      <c r="O24" s="273"/>
      <c r="P24" s="436"/>
      <c r="Q24" s="48"/>
      <c r="R24" s="48"/>
      <c r="S24" s="48"/>
      <c r="T24" s="226"/>
      <c r="U24" s="436"/>
    </row>
    <row r="25" spans="2:21" x14ac:dyDescent="0.2">
      <c r="B25" s="74"/>
      <c r="C25" s="528" t="s">
        <v>441</v>
      </c>
      <c r="D25" s="528">
        <f>XpropuRef</f>
        <v>1035</v>
      </c>
      <c r="E25" s="529" t="s">
        <v>444</v>
      </c>
      <c r="F25" s="530">
        <f>p_ail</f>
        <v>180</v>
      </c>
      <c r="G25" s="528">
        <f>p_can</f>
        <v>40</v>
      </c>
      <c r="I25" s="531" t="s">
        <v>450</v>
      </c>
      <c r="J25" s="530">
        <f>D2j</f>
        <v>104</v>
      </c>
      <c r="K25" s="528">
        <f>D2r</f>
        <v>104</v>
      </c>
      <c r="N25" s="75"/>
      <c r="O25" s="273"/>
      <c r="P25" s="436"/>
      <c r="Q25" s="48"/>
      <c r="R25" s="48"/>
      <c r="S25" s="48"/>
      <c r="T25" s="226"/>
      <c r="U25" s="436"/>
    </row>
    <row r="26" spans="2:21" x14ac:dyDescent="0.2">
      <c r="B26" s="74"/>
      <c r="C26" s="528" t="s">
        <v>438</v>
      </c>
      <c r="D26" s="528">
        <f>D_ref</f>
        <v>104</v>
      </c>
      <c r="E26" s="529" t="s">
        <v>445</v>
      </c>
      <c r="F26" s="530">
        <f>E_ail</f>
        <v>130</v>
      </c>
      <c r="G26" s="528">
        <f>E_can</f>
        <v>50</v>
      </c>
      <c r="I26" s="531" t="s">
        <v>451</v>
      </c>
      <c r="J26" s="530">
        <f>X_j</f>
        <v>1</v>
      </c>
      <c r="K26" s="528">
        <f>X_r</f>
        <v>0</v>
      </c>
      <c r="N26" s="75"/>
      <c r="O26" s="273"/>
      <c r="P26" s="436"/>
      <c r="Q26" s="48"/>
      <c r="R26" s="48"/>
      <c r="S26" s="48"/>
      <c r="T26" s="226"/>
      <c r="U26" s="436"/>
    </row>
    <row r="27" spans="2:21" x14ac:dyDescent="0.2">
      <c r="B27" s="74"/>
      <c r="C27" s="528" t="s">
        <v>439</v>
      </c>
      <c r="D27" s="528">
        <f>Long_ogive</f>
        <v>1</v>
      </c>
      <c r="E27" s="529" t="s">
        <v>446</v>
      </c>
      <c r="F27" s="530">
        <f>X_ail</f>
        <v>1015</v>
      </c>
      <c r="G27" s="528">
        <f>X_can</f>
        <v>700</v>
      </c>
      <c r="H27" s="520"/>
      <c r="I27" s="3"/>
      <c r="J27" s="2"/>
      <c r="N27" s="75"/>
      <c r="O27" s="273"/>
      <c r="P27" s="436"/>
      <c r="Q27" s="48"/>
      <c r="R27" s="48"/>
      <c r="S27" s="48"/>
      <c r="T27" s="226"/>
      <c r="U27" s="436"/>
    </row>
    <row r="28" spans="2:21" ht="13.5" thickBot="1" x14ac:dyDescent="0.25">
      <c r="B28" s="74"/>
      <c r="E28" s="95"/>
      <c r="N28" s="75"/>
      <c r="O28" s="2"/>
      <c r="P28" s="6"/>
      <c r="Q28" s="2"/>
      <c r="R28" s="48"/>
      <c r="S28" s="48"/>
      <c r="T28" s="48"/>
      <c r="U28" s="436"/>
    </row>
    <row r="29" spans="2:21" ht="13.5" thickBot="1" x14ac:dyDescent="0.25">
      <c r="B29" s="74"/>
      <c r="C29" s="667" t="s">
        <v>142</v>
      </c>
      <c r="D29" s="667" t="s">
        <v>134</v>
      </c>
      <c r="E29" s="667" t="s">
        <v>135</v>
      </c>
      <c r="F29" s="667"/>
      <c r="G29" s="667"/>
      <c r="H29" s="668" t="s">
        <v>136</v>
      </c>
      <c r="I29" s="668"/>
      <c r="J29" s="668"/>
      <c r="K29" s="668"/>
      <c r="L29" s="667" t="s">
        <v>137</v>
      </c>
      <c r="M29" s="667" t="s">
        <v>138</v>
      </c>
      <c r="N29" s="75"/>
      <c r="O29" s="273" t="s">
        <v>430</v>
      </c>
      <c r="P29" s="441">
        <f>n_ail</f>
        <v>60</v>
      </c>
      <c r="Q29" s="2"/>
      <c r="R29" s="48"/>
      <c r="S29" s="48"/>
      <c r="T29" s="48"/>
      <c r="U29" s="12" t="s">
        <v>434</v>
      </c>
    </row>
    <row r="30" spans="2:21" ht="13.5" thickBot="1" x14ac:dyDescent="0.25">
      <c r="B30" s="74"/>
      <c r="C30" s="667"/>
      <c r="D30" s="667"/>
      <c r="E30" s="667"/>
      <c r="F30" s="667"/>
      <c r="G30" s="667"/>
      <c r="H30" s="668" t="s">
        <v>139</v>
      </c>
      <c r="I30" s="668"/>
      <c r="J30" s="69" t="s">
        <v>140</v>
      </c>
      <c r="K30" s="70" t="s">
        <v>141</v>
      </c>
      <c r="L30" s="667"/>
      <c r="M30" s="667"/>
      <c r="N30" s="75"/>
      <c r="P30" s="12"/>
      <c r="R30" s="48"/>
      <c r="S30" s="48"/>
      <c r="T30" s="226" t="s">
        <v>432</v>
      </c>
      <c r="U30" s="525">
        <f>[0]!p_can</f>
        <v>40</v>
      </c>
    </row>
    <row r="31" spans="2:21" ht="13.5" thickBot="1" x14ac:dyDescent="0.25">
      <c r="B31" s="74"/>
      <c r="C31" s="83">
        <f>Beta_rampe</f>
        <v>85</v>
      </c>
      <c r="D31" s="84">
        <f ca="1">Portee_balistique</f>
        <v>539.267207314762</v>
      </c>
      <c r="E31" s="666">
        <f ca="1">T_para+Dt_para</f>
        <v>100.17949959908674</v>
      </c>
      <c r="F31" s="666"/>
      <c r="G31" s="666"/>
      <c r="H31" s="669">
        <f ca="1">Altitude_culmi</f>
        <v>1738.4460976679284</v>
      </c>
      <c r="I31" s="669"/>
      <c r="J31" s="85">
        <f ca="1">Temps_culmi</f>
        <v>18.199999999999946</v>
      </c>
      <c r="K31" s="86">
        <f ca="1">Vit_culmi</f>
        <v>14.270041345691116</v>
      </c>
      <c r="L31" s="84">
        <f ca="1">Acc_max</f>
        <v>103.56971828823482</v>
      </c>
      <c r="M31" s="86">
        <f ca="1">Vit_max</f>
        <v>214.51934012791119</v>
      </c>
      <c r="N31" s="75"/>
      <c r="O31" s="273" t="s">
        <v>436</v>
      </c>
      <c r="P31" s="441">
        <f>ep_ail</f>
        <v>3</v>
      </c>
      <c r="Q31" s="2"/>
      <c r="R31" s="48"/>
      <c r="S31" s="48"/>
      <c r="T31" s="226" t="s">
        <v>344</v>
      </c>
      <c r="U31" s="525">
        <f>[0]!m_can</f>
        <v>70</v>
      </c>
    </row>
    <row r="32" spans="2:21" ht="13.5" thickBot="1" x14ac:dyDescent="0.25">
      <c r="B32" s="74"/>
      <c r="C32" s="522"/>
      <c r="D32" s="242"/>
      <c r="E32" s="247"/>
      <c r="F32" s="247"/>
      <c r="G32" s="247"/>
      <c r="H32" s="283"/>
      <c r="I32" s="283"/>
      <c r="J32" s="247"/>
      <c r="K32" s="248"/>
      <c r="L32" s="242"/>
      <c r="M32" s="248"/>
      <c r="N32" s="75"/>
      <c r="O32" s="273" t="s">
        <v>435</v>
      </c>
      <c r="P32" s="524">
        <f>Q_ail</f>
        <v>4</v>
      </c>
      <c r="Q32" s="2"/>
      <c r="R32" s="48"/>
      <c r="S32" s="48"/>
      <c r="T32" s="226" t="s">
        <v>430</v>
      </c>
      <c r="U32" s="525">
        <f>[0]!n_can</f>
        <v>10</v>
      </c>
    </row>
    <row r="33" spans="2:21" ht="13.5" thickBot="1" x14ac:dyDescent="0.25">
      <c r="B33" s="74"/>
      <c r="D33" s="80"/>
      <c r="E33" s="81"/>
      <c r="F33" s="81"/>
      <c r="G33" s="81"/>
      <c r="H33" s="82"/>
      <c r="I33" s="82"/>
      <c r="J33" s="81"/>
      <c r="K33" s="76"/>
      <c r="L33" s="80"/>
      <c r="M33" s="76"/>
      <c r="N33" s="75"/>
      <c r="O33" s="2"/>
      <c r="Q33" s="2"/>
      <c r="R33" s="48"/>
      <c r="S33" s="48"/>
      <c r="T33" s="226" t="s">
        <v>431</v>
      </c>
      <c r="U33" s="525">
        <f>[0]!E_can</f>
        <v>50</v>
      </c>
    </row>
    <row r="34" spans="2:21" ht="13.5" thickBot="1" x14ac:dyDescent="0.25">
      <c r="B34" s="77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9"/>
      <c r="O34" s="2"/>
      <c r="P34" s="273" t="s">
        <v>431</v>
      </c>
      <c r="Q34" s="441">
        <f>E_ail</f>
        <v>130</v>
      </c>
      <c r="T34" s="226" t="s">
        <v>436</v>
      </c>
      <c r="U34" s="525">
        <f>[0]!ep_can</f>
        <v>2</v>
      </c>
    </row>
    <row r="35" spans="2:21" x14ac:dyDescent="0.2">
      <c r="O35" s="2"/>
      <c r="P35" s="6"/>
      <c r="Q35" s="6"/>
      <c r="T35" s="226" t="s">
        <v>435</v>
      </c>
      <c r="U35" s="525">
        <f>[0]!Q_can</f>
        <v>4</v>
      </c>
    </row>
    <row r="36" spans="2:21" ht="13.5" thickBot="1" x14ac:dyDescent="0.25">
      <c r="T36" s="2"/>
      <c r="U36" s="12"/>
    </row>
    <row r="37" spans="2:21" x14ac:dyDescent="0.2">
      <c r="B37" s="71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3"/>
      <c r="T37" s="2"/>
    </row>
    <row r="38" spans="2:21" x14ac:dyDescent="0.2">
      <c r="B38" s="74"/>
      <c r="D38" s="2" t="s">
        <v>196</v>
      </c>
      <c r="N38" s="75"/>
    </row>
    <row r="39" spans="2:21" x14ac:dyDescent="0.2">
      <c r="B39" s="74"/>
      <c r="D39" s="2"/>
      <c r="N39" s="75"/>
    </row>
    <row r="40" spans="2:21" x14ac:dyDescent="0.2">
      <c r="B40" s="74"/>
      <c r="D40" s="275" t="s">
        <v>150</v>
      </c>
      <c r="E40" s="246">
        <f>D_ref</f>
        <v>104</v>
      </c>
      <c r="F40" s="265"/>
      <c r="G40" s="265"/>
      <c r="H40" s="261" t="s">
        <v>199</v>
      </c>
      <c r="I40" s="261" t="s">
        <v>200</v>
      </c>
      <c r="J40" s="262" t="s">
        <v>201</v>
      </c>
      <c r="N40" s="75"/>
    </row>
    <row r="41" spans="2:21" x14ac:dyDescent="0.2">
      <c r="B41" s="74"/>
      <c r="D41" s="276" t="s">
        <v>148</v>
      </c>
      <c r="E41" s="6">
        <f>Long_ogive</f>
        <v>1</v>
      </c>
      <c r="F41" s="2"/>
      <c r="G41" s="2" t="s">
        <v>202</v>
      </c>
      <c r="H41" s="6">
        <f>MasseSans</f>
        <v>6.2</v>
      </c>
      <c r="I41" s="6">
        <f ca="1">MasseVide</f>
        <v>6.8520000000000003</v>
      </c>
      <c r="J41" s="244">
        <f ca="1">MassePlein</f>
        <v>7.8849999999999998</v>
      </c>
      <c r="N41" s="75"/>
    </row>
    <row r="42" spans="2:21" x14ac:dyDescent="0.2">
      <c r="B42" s="74"/>
      <c r="D42" s="276" t="s">
        <v>151</v>
      </c>
      <c r="E42" s="6">
        <f>X_ail-m_ail</f>
        <v>825</v>
      </c>
      <c r="F42" s="255"/>
      <c r="G42" s="255" t="s">
        <v>219</v>
      </c>
      <c r="H42" s="263">
        <f>XcgSans</f>
        <v>260</v>
      </c>
      <c r="I42" s="263">
        <f ca="1">XcgVide</f>
        <v>310.14652656158779</v>
      </c>
      <c r="J42" s="245">
        <f ca="1">XcgPlein</f>
        <v>374.75523145212424</v>
      </c>
      <c r="N42" s="75"/>
    </row>
    <row r="43" spans="2:21" x14ac:dyDescent="0.2">
      <c r="B43" s="74"/>
      <c r="D43" s="276" t="str">
        <f>IF(Lang="Français","Emplanture 'm'",IF(Lang="English","Root edge  'm'",""))</f>
        <v>Emplanture 'm'</v>
      </c>
      <c r="E43" s="244">
        <f>m_ail</f>
        <v>190</v>
      </c>
      <c r="N43" s="75"/>
    </row>
    <row r="44" spans="2:21" x14ac:dyDescent="0.2">
      <c r="B44" s="74"/>
      <c r="D44" s="276" t="str">
        <f>IF(Lang="Français","Saumon      'n'",IF(Lang="English","Tip edge    'n'",""))</f>
        <v>Saumon      'n'</v>
      </c>
      <c r="E44" s="244">
        <f>n_ail</f>
        <v>60</v>
      </c>
      <c r="F44" s="246" t="s">
        <v>203</v>
      </c>
      <c r="G44" s="246" t="s">
        <v>208</v>
      </c>
      <c r="H44" s="662">
        <f ca="1">Vsortie_de_rampe</f>
        <v>27.59094281243793</v>
      </c>
      <c r="I44" s="663"/>
      <c r="N44" s="75"/>
    </row>
    <row r="45" spans="2:21" x14ac:dyDescent="0.2">
      <c r="B45" s="74"/>
      <c r="D45" s="276" t="str">
        <f>IF(Lang="Français","Flèche        'p'",IF(Lang="English","Offset         'p'",""))</f>
        <v>Flèche        'p'</v>
      </c>
      <c r="E45" s="244">
        <f>p_ail</f>
        <v>180</v>
      </c>
      <c r="F45" s="6" t="s">
        <v>204</v>
      </c>
      <c r="G45" s="6" t="s">
        <v>209</v>
      </c>
      <c r="H45" s="664">
        <f>Finesse</f>
        <v>9.9519230769230766</v>
      </c>
      <c r="I45" s="665"/>
      <c r="N45" s="75"/>
    </row>
    <row r="46" spans="2:21" x14ac:dyDescent="0.2">
      <c r="B46" s="74"/>
      <c r="D46" s="276" t="str">
        <f>IF(Lang="Français","Envergure   'E'",IF(Lang="English","Span          'E'",""))</f>
        <v>Envergure   'E'</v>
      </c>
      <c r="E46" s="244">
        <f>E_ail</f>
        <v>130</v>
      </c>
      <c r="F46" s="6" t="s">
        <v>205</v>
      </c>
      <c r="G46" s="6" t="s">
        <v>210</v>
      </c>
      <c r="H46" s="664">
        <f>Cn</f>
        <v>14.551111963633765</v>
      </c>
      <c r="I46" s="665"/>
      <c r="N46" s="75"/>
    </row>
    <row r="47" spans="2:21" x14ac:dyDescent="0.2">
      <c r="B47" s="74"/>
      <c r="D47" s="276" t="s">
        <v>145</v>
      </c>
      <c r="E47" s="244">
        <f>ep_ail</f>
        <v>3</v>
      </c>
      <c r="F47" s="6" t="s">
        <v>206</v>
      </c>
      <c r="G47" s="6" t="s">
        <v>211</v>
      </c>
      <c r="H47" s="247">
        <f ca="1">MS_min</f>
        <v>3.7345101082296499</v>
      </c>
      <c r="I47" s="254">
        <f ca="1">MS_max</f>
        <v>4.3557476552540386</v>
      </c>
      <c r="N47" s="75"/>
    </row>
    <row r="48" spans="2:21" x14ac:dyDescent="0.2">
      <c r="B48" s="74"/>
      <c r="D48" s="276" t="s">
        <v>146</v>
      </c>
      <c r="E48" s="244">
        <f>Q_ail</f>
        <v>4</v>
      </c>
      <c r="F48" s="274" t="s">
        <v>207</v>
      </c>
      <c r="G48" s="274" t="s">
        <v>212</v>
      </c>
      <c r="H48" s="256">
        <f ca="1">MS_Cn_min</f>
        <v>54.341274714171689</v>
      </c>
      <c r="I48" s="264">
        <f ca="1">MS_Cn_max</f>
        <v>63.380971816936764</v>
      </c>
      <c r="N48" s="75"/>
    </row>
    <row r="49" spans="2:14" x14ac:dyDescent="0.2">
      <c r="B49" s="74"/>
      <c r="D49" s="276" t="s">
        <v>149</v>
      </c>
      <c r="E49" s="244">
        <f ca="1">XpropuRef-Long_propu</f>
        <v>547</v>
      </c>
      <c r="N49" s="75"/>
    </row>
    <row r="50" spans="2:14" x14ac:dyDescent="0.2">
      <c r="B50" s="74"/>
      <c r="D50" s="276" t="s">
        <v>147</v>
      </c>
      <c r="E50" s="272" t="str">
        <f>Forme_ogive</f>
        <v>Conique (droite)</v>
      </c>
      <c r="F50" s="273" t="s">
        <v>184</v>
      </c>
      <c r="G50" s="275" t="s">
        <v>5</v>
      </c>
      <c r="H50" s="246">
        <f>Cx</f>
        <v>0.5</v>
      </c>
      <c r="I50" s="265"/>
      <c r="J50" s="266"/>
      <c r="N50" s="75"/>
    </row>
    <row r="51" spans="2:14" x14ac:dyDescent="0.2">
      <c r="B51" s="74"/>
      <c r="D51" s="276" t="s">
        <v>143</v>
      </c>
      <c r="E51" s="244">
        <f>Long_tot</f>
        <v>1035</v>
      </c>
      <c r="G51" s="276" t="s">
        <v>213</v>
      </c>
      <c r="H51" s="6">
        <f>Sref</f>
        <v>1.0054866535306801E-2</v>
      </c>
      <c r="J51" s="267"/>
      <c r="N51" s="75"/>
    </row>
    <row r="52" spans="2:14" x14ac:dyDescent="0.2">
      <c r="B52" s="74"/>
      <c r="D52" s="276" t="s">
        <v>197</v>
      </c>
      <c r="E52" s="244">
        <f>MAX(D_ref,D_ail,D_og,(RIGHT(Nb_diam,1)=",")*MAX(D1j,D1r,D2j,D2r))</f>
        <v>104</v>
      </c>
      <c r="G52" s="276" t="s">
        <v>214</v>
      </c>
      <c r="H52" s="6">
        <f>Beta_rampe</f>
        <v>85</v>
      </c>
      <c r="I52" s="6">
        <v>80</v>
      </c>
      <c r="J52" s="244">
        <v>90</v>
      </c>
      <c r="N52" s="75"/>
    </row>
    <row r="53" spans="2:14" x14ac:dyDescent="0.2">
      <c r="B53" s="74"/>
      <c r="D53" s="277" t="s">
        <v>198</v>
      </c>
      <c r="E53" s="260">
        <f>E_ail*2+D_ail</f>
        <v>364</v>
      </c>
      <c r="G53" s="278" t="s">
        <v>216</v>
      </c>
      <c r="H53" s="247">
        <f ca="1">Temps_culmi</f>
        <v>18.199999999999946</v>
      </c>
      <c r="I53" s="259"/>
      <c r="J53" s="268"/>
      <c r="N53" s="75"/>
    </row>
    <row r="54" spans="2:14" x14ac:dyDescent="0.2">
      <c r="B54" s="74"/>
      <c r="G54" s="278" t="s">
        <v>217</v>
      </c>
      <c r="H54" s="242">
        <f ca="1">Altitude_culmi</f>
        <v>1738.4460976679284</v>
      </c>
      <c r="I54" s="259"/>
      <c r="J54" s="268"/>
      <c r="N54" s="75"/>
    </row>
    <row r="55" spans="2:14" x14ac:dyDescent="0.2">
      <c r="B55" s="74"/>
      <c r="C55" s="275" t="s">
        <v>234</v>
      </c>
      <c r="D55" s="249" t="s">
        <v>61</v>
      </c>
      <c r="E55" s="243">
        <f>Long_tot</f>
        <v>1035</v>
      </c>
      <c r="G55" s="278" t="s">
        <v>218</v>
      </c>
      <c r="H55" s="248">
        <f ca="1">Vit_culmi</f>
        <v>14.270041345691116</v>
      </c>
      <c r="I55" s="259"/>
      <c r="J55" s="268"/>
      <c r="N55" s="75"/>
    </row>
    <row r="56" spans="2:14" x14ac:dyDescent="0.2">
      <c r="B56" s="74"/>
      <c r="C56" s="276"/>
      <c r="D56" s="2" t="s">
        <v>220</v>
      </c>
      <c r="E56" s="244">
        <f>MAX(D_ref,D_ail,D_og,(RIGHT(Nb_diam,1)=",")*MAX(D1j,D1r,D2j,D2r))</f>
        <v>104</v>
      </c>
      <c r="G56" s="278" t="s">
        <v>134</v>
      </c>
      <c r="H56" s="242">
        <f ca="1">Portee_balistique</f>
        <v>539.267207314762</v>
      </c>
      <c r="I56" s="259"/>
      <c r="J56" s="268"/>
      <c r="N56" s="75"/>
    </row>
    <row r="57" spans="2:14" x14ac:dyDescent="0.2">
      <c r="B57" s="74"/>
      <c r="C57" s="276"/>
      <c r="D57" s="2" t="s">
        <v>221</v>
      </c>
      <c r="E57" s="244">
        <f>E_ail*2+D_ail</f>
        <v>364</v>
      </c>
      <c r="G57" s="278" t="s">
        <v>215</v>
      </c>
      <c r="H57" s="242">
        <f ca="1">T_balistique</f>
        <v>39.400000000000247</v>
      </c>
      <c r="I57" s="259"/>
      <c r="J57" s="268"/>
      <c r="N57" s="75"/>
    </row>
    <row r="58" spans="2:14" x14ac:dyDescent="0.2">
      <c r="B58" s="74"/>
      <c r="C58" s="276"/>
      <c r="D58" s="2" t="s">
        <v>222</v>
      </c>
      <c r="E58" s="244">
        <f ca="1">MassePlein</f>
        <v>7.8849999999999998</v>
      </c>
      <c r="G58" s="278" t="s">
        <v>138</v>
      </c>
      <c r="H58" s="248">
        <f ca="1">Vit_max</f>
        <v>214.51934012791119</v>
      </c>
      <c r="I58" s="259"/>
      <c r="J58" s="268"/>
      <c r="N58" s="75"/>
    </row>
    <row r="59" spans="2:14" x14ac:dyDescent="0.2">
      <c r="B59" s="74"/>
      <c r="C59" s="277" t="s">
        <v>235</v>
      </c>
      <c r="D59" s="255" t="s">
        <v>146</v>
      </c>
      <c r="E59" s="260">
        <f>Q_ail</f>
        <v>4</v>
      </c>
      <c r="G59" s="278" t="s">
        <v>137</v>
      </c>
      <c r="H59" s="242">
        <f ca="1">Acc_max</f>
        <v>103.56971828823482</v>
      </c>
      <c r="I59" s="259"/>
      <c r="J59" s="268"/>
      <c r="N59" s="75"/>
    </row>
    <row r="60" spans="2:14" x14ac:dyDescent="0.2">
      <c r="B60" s="74"/>
      <c r="C60" s="12"/>
      <c r="G60" s="269" t="s">
        <v>223</v>
      </c>
      <c r="H60" s="270"/>
      <c r="I60" s="270"/>
      <c r="J60" s="271"/>
      <c r="N60" s="75"/>
    </row>
    <row r="61" spans="2:14" x14ac:dyDescent="0.2">
      <c r="B61" s="74"/>
      <c r="C61" s="275"/>
      <c r="D61" s="249"/>
      <c r="E61" s="246" t="s">
        <v>227</v>
      </c>
      <c r="F61" s="243" t="s">
        <v>228</v>
      </c>
      <c r="G61" s="2"/>
      <c r="H61" s="2"/>
      <c r="I61" s="2"/>
      <c r="J61" s="2"/>
      <c r="K61" s="2"/>
      <c r="N61" s="75"/>
    </row>
    <row r="62" spans="2:14" x14ac:dyDescent="0.2">
      <c r="B62" s="74"/>
      <c r="C62" s="276" t="s">
        <v>236</v>
      </c>
      <c r="D62" s="2" t="s">
        <v>226</v>
      </c>
      <c r="E62" s="242">
        <f ca="1">2*Acc_max*MassePlein</f>
        <v>1633.2944574054632</v>
      </c>
      <c r="F62" s="280">
        <f ca="1">E62/9.81</f>
        <v>166.49280911370673</v>
      </c>
      <c r="H62" s="2"/>
      <c r="I62" s="2"/>
      <c r="J62" s="2"/>
      <c r="K62" s="2"/>
      <c r="N62" s="75"/>
    </row>
    <row r="63" spans="2:14" x14ac:dyDescent="0.2">
      <c r="B63" s="74"/>
      <c r="C63" s="276"/>
      <c r="D63" s="2" t="s">
        <v>224</v>
      </c>
      <c r="E63" s="242">
        <f ca="1">2*Acc_max*Masse_ail</f>
        <v>20.196095066205796</v>
      </c>
      <c r="F63" s="248">
        <f ca="1">E63/9.81</f>
        <v>2.0587252870750046</v>
      </c>
      <c r="G63" s="246" t="s">
        <v>230</v>
      </c>
      <c r="H63" s="288">
        <f>S_ail*(ep_ail/1000)*2000</f>
        <v>9.7500000000000017E-2</v>
      </c>
      <c r="I63" s="2"/>
      <c r="J63" s="2"/>
      <c r="K63" s="2"/>
      <c r="N63" s="75"/>
    </row>
    <row r="64" spans="2:14" x14ac:dyDescent="0.2">
      <c r="B64" s="74"/>
      <c r="C64" s="277"/>
      <c r="D64" s="255" t="s">
        <v>225</v>
      </c>
      <c r="E64" s="263">
        <f ca="1">0.104*S_ail*Vit_max^2</f>
        <v>77.771344918265413</v>
      </c>
      <c r="F64" s="281">
        <f ca="1">E64/9.81</f>
        <v>7.9277619692421419</v>
      </c>
      <c r="G64" s="274" t="s">
        <v>229</v>
      </c>
      <c r="H64" s="289">
        <f>(E_ail*(m_ail+n_ail)/2)/10^6</f>
        <v>1.6250000000000001E-2</v>
      </c>
      <c r="I64" s="2"/>
      <c r="J64" s="2"/>
      <c r="K64" s="2"/>
      <c r="N64" s="75"/>
    </row>
    <row r="65" spans="2:14" x14ac:dyDescent="0.2">
      <c r="B65" s="74"/>
      <c r="C65" s="282" t="s">
        <v>243</v>
      </c>
      <c r="D65" s="285" t="s">
        <v>241</v>
      </c>
      <c r="E65" s="286">
        <f ca="1">2*Acc_max*H65</f>
        <v>816.64722870273158</v>
      </c>
      <c r="F65" s="286">
        <f ca="1">E65/9.81</f>
        <v>83.246404556853363</v>
      </c>
      <c r="G65" s="287" t="s">
        <v>242</v>
      </c>
      <c r="H65" s="279">
        <f ca="1">E58/2</f>
        <v>3.9424999999999999</v>
      </c>
      <c r="I65" s="2"/>
      <c r="J65" s="2"/>
      <c r="K65" s="2"/>
      <c r="N65" s="75"/>
    </row>
    <row r="66" spans="2:14" x14ac:dyDescent="0.2">
      <c r="B66" s="74"/>
      <c r="C66" s="6"/>
      <c r="D66" s="2"/>
      <c r="E66" s="2"/>
      <c r="F66" s="2"/>
      <c r="G66" s="2"/>
      <c r="H66" s="2"/>
      <c r="I66" s="2"/>
      <c r="J66" s="2"/>
      <c r="K66" s="2"/>
      <c r="N66" s="75"/>
    </row>
    <row r="67" spans="2:14" x14ac:dyDescent="0.2">
      <c r="B67" s="74"/>
      <c r="F67" s="275" t="s">
        <v>233</v>
      </c>
      <c r="G67" s="249" t="s">
        <v>231</v>
      </c>
      <c r="H67" s="250">
        <f>T_para</f>
        <v>21.8</v>
      </c>
      <c r="I67" s="251">
        <f ca="1">Temps_culmi</f>
        <v>18.199999999999946</v>
      </c>
      <c r="J67" s="2"/>
      <c r="K67" s="2"/>
      <c r="N67" s="75"/>
    </row>
    <row r="68" spans="2:14" x14ac:dyDescent="0.2">
      <c r="B68" s="74"/>
      <c r="C68" s="6"/>
      <c r="D68" s="2"/>
      <c r="E68" s="2"/>
      <c r="F68" s="275" t="s">
        <v>232</v>
      </c>
      <c r="G68" s="249" t="s">
        <v>130</v>
      </c>
      <c r="H68" s="250">
        <f ca="1">V_para</f>
        <v>21.383781762096707</v>
      </c>
      <c r="I68" s="251">
        <f>V_satellite</f>
        <v>12.655562623057198</v>
      </c>
      <c r="J68" s="2"/>
      <c r="K68" s="2"/>
      <c r="N68" s="75"/>
    </row>
    <row r="69" spans="2:14" x14ac:dyDescent="0.2">
      <c r="B69" s="74"/>
      <c r="C69" s="6"/>
      <c r="D69" s="2"/>
      <c r="E69" s="2"/>
      <c r="F69" s="276"/>
      <c r="G69" s="2" t="s">
        <v>238</v>
      </c>
      <c r="H69" s="247">
        <f>S_para</f>
        <v>0.24</v>
      </c>
      <c r="I69" s="253">
        <f>S_satellite</f>
        <v>0.1</v>
      </c>
      <c r="J69" s="2"/>
      <c r="K69" s="2"/>
      <c r="N69" s="75"/>
    </row>
    <row r="70" spans="2:14" x14ac:dyDescent="0.2">
      <c r="B70" s="74"/>
      <c r="C70" s="226"/>
      <c r="D70" s="2"/>
      <c r="F70" s="276"/>
      <c r="G70" s="2" t="s">
        <v>237</v>
      </c>
      <c r="H70" s="247">
        <f ca="1">V_ouverture</f>
        <v>37.201295946308711</v>
      </c>
      <c r="I70" s="253">
        <f ca="1">V_ouv_sat</f>
        <v>211.64844508881808</v>
      </c>
      <c r="N70" s="75"/>
    </row>
    <row r="71" spans="2:14" x14ac:dyDescent="0.2">
      <c r="B71" s="74"/>
      <c r="C71" s="226"/>
      <c r="F71" s="276"/>
      <c r="G71" s="2" t="s">
        <v>202</v>
      </c>
      <c r="H71" s="247">
        <f ca="1">m_vide</f>
        <v>6.8520000000000003</v>
      </c>
      <c r="I71" s="253">
        <f>m_satellite</f>
        <v>1</v>
      </c>
      <c r="N71" s="75"/>
    </row>
    <row r="72" spans="2:14" x14ac:dyDescent="0.2">
      <c r="B72" s="74"/>
      <c r="C72" s="226"/>
      <c r="F72" s="276"/>
      <c r="G72" s="2" t="s">
        <v>239</v>
      </c>
      <c r="H72" s="283">
        <f ca="1">1/2*Rho_moyen*S_para*V_ouverture^2</f>
        <v>203.43865375247219</v>
      </c>
      <c r="I72" s="284">
        <f ca="1">1/2*Rho_moyen*S_satellite*V_ouv_sat^2</f>
        <v>2743.6976888965096</v>
      </c>
      <c r="N72" s="75"/>
    </row>
    <row r="73" spans="2:14" x14ac:dyDescent="0.2">
      <c r="B73" s="74"/>
      <c r="D73" s="2"/>
      <c r="F73" s="277"/>
      <c r="G73" s="255" t="s">
        <v>240</v>
      </c>
      <c r="H73" s="256">
        <f ca="1">H72/9.81</f>
        <v>20.737885193931923</v>
      </c>
      <c r="I73" s="257">
        <f ca="1">I72/9.81</f>
        <v>279.68376033603562</v>
      </c>
      <c r="N73" s="75"/>
    </row>
    <row r="74" spans="2:14" ht="13.5" thickBot="1" x14ac:dyDescent="0.25">
      <c r="B74" s="77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9"/>
    </row>
    <row r="76" spans="2:14" ht="13.5" thickBot="1" x14ac:dyDescent="0.25"/>
    <row r="77" spans="2:14" x14ac:dyDescent="0.2">
      <c r="B77" s="71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3"/>
    </row>
    <row r="78" spans="2:14" x14ac:dyDescent="0.2">
      <c r="B78" s="74"/>
      <c r="D78" s="2" t="s">
        <v>333</v>
      </c>
      <c r="N78" s="75"/>
    </row>
    <row r="79" spans="2:14" ht="12.75" customHeight="1" x14ac:dyDescent="0.25">
      <c r="B79" s="74"/>
      <c r="E79" s="48"/>
      <c r="F79" s="48"/>
      <c r="G79" s="435" t="s">
        <v>339</v>
      </c>
      <c r="I79" s="448"/>
      <c r="J79" s="48"/>
      <c r="K79" s="48"/>
      <c r="N79" s="75"/>
    </row>
    <row r="80" spans="2:14" x14ac:dyDescent="0.2">
      <c r="B80" s="74"/>
      <c r="C80" s="275" t="s">
        <v>334</v>
      </c>
      <c r="D80" s="243" t="str">
        <f>Nom</f>
        <v xml:space="preserve">SP-02 </v>
      </c>
      <c r="E80" s="48"/>
      <c r="F80" s="48"/>
      <c r="G80" s="48"/>
      <c r="H80" s="48"/>
      <c r="I80" s="48"/>
      <c r="J80" s="48"/>
      <c r="K80" s="48"/>
      <c r="N80" s="75"/>
    </row>
    <row r="81" spans="2:14" ht="13.5" thickBot="1" x14ac:dyDescent="0.25">
      <c r="B81" s="74"/>
      <c r="C81" s="276" t="s">
        <v>4</v>
      </c>
      <c r="D81" s="244" t="str">
        <f>Club</f>
        <v>Aeroipsa</v>
      </c>
      <c r="E81" s="48"/>
      <c r="F81" s="48"/>
      <c r="G81" s="48"/>
      <c r="H81" s="48"/>
      <c r="I81" s="48"/>
      <c r="J81" s="48"/>
      <c r="K81" s="48"/>
      <c r="N81" s="75"/>
    </row>
    <row r="82" spans="2:14" ht="13.5" thickBot="1" x14ac:dyDescent="0.25">
      <c r="B82" s="74"/>
      <c r="C82" s="432" t="s">
        <v>335</v>
      </c>
      <c r="D82" s="244" t="s">
        <v>14</v>
      </c>
      <c r="E82" s="273" t="s">
        <v>340</v>
      </c>
      <c r="F82" s="441">
        <f>Long_ogive</f>
        <v>1</v>
      </c>
      <c r="G82" s="48"/>
      <c r="H82" s="48"/>
      <c r="I82" s="48"/>
      <c r="J82" s="48"/>
      <c r="K82" s="48"/>
      <c r="N82" s="75"/>
    </row>
    <row r="83" spans="2:14" x14ac:dyDescent="0.2">
      <c r="B83" s="74"/>
      <c r="C83" s="277" t="s">
        <v>336</v>
      </c>
      <c r="D83" s="433">
        <f ca="1">TODAY()</f>
        <v>45781</v>
      </c>
      <c r="E83" s="48"/>
      <c r="F83" s="436"/>
      <c r="G83" s="48"/>
      <c r="H83" s="48"/>
      <c r="I83" s="48"/>
      <c r="J83" s="48"/>
      <c r="K83" s="48"/>
      <c r="N83" s="75"/>
    </row>
    <row r="84" spans="2:14" ht="13.5" thickBot="1" x14ac:dyDescent="0.25">
      <c r="B84" s="74"/>
      <c r="E84" s="48"/>
      <c r="F84" s="436"/>
      <c r="G84" s="48"/>
      <c r="H84" s="48"/>
      <c r="I84" s="48"/>
      <c r="J84" s="440">
        <f>IF(RIGHT(Nb_diam,1)=",", "", X_j)</f>
        <v>1</v>
      </c>
      <c r="K84" s="48"/>
      <c r="N84" s="75"/>
    </row>
    <row r="85" spans="2:14" ht="13.5" thickBot="1" x14ac:dyDescent="0.25">
      <c r="B85" s="74"/>
      <c r="C85" s="275" t="s">
        <v>337</v>
      </c>
      <c r="D85" s="243" t="str">
        <f>Propu</f>
        <v>Barasinga (Pro54-5G C)</v>
      </c>
      <c r="E85" s="273" t="s">
        <v>341</v>
      </c>
      <c r="F85" s="441">
        <f>D_og</f>
        <v>84</v>
      </c>
      <c r="G85" s="48"/>
      <c r="H85" s="48"/>
      <c r="I85" s="48"/>
      <c r="J85" s="436"/>
      <c r="K85" s="48"/>
      <c r="N85" s="75"/>
    </row>
    <row r="86" spans="2:14" x14ac:dyDescent="0.2">
      <c r="B86" s="74"/>
      <c r="C86" s="277" t="s">
        <v>338</v>
      </c>
      <c r="D86" s="260" t="s">
        <v>14</v>
      </c>
      <c r="E86" s="48"/>
      <c r="F86" s="436"/>
      <c r="G86" s="48"/>
      <c r="H86" s="48"/>
      <c r="I86" s="48"/>
      <c r="J86" s="440">
        <f>IF(RIGHT(Nb_diam,1)=",", "", X_r)</f>
        <v>0</v>
      </c>
      <c r="K86" s="48"/>
      <c r="N86" s="75"/>
    </row>
    <row r="87" spans="2:14" x14ac:dyDescent="0.2">
      <c r="B87" s="74"/>
      <c r="E87" s="48"/>
      <c r="F87" s="436"/>
      <c r="G87" s="48"/>
      <c r="H87" s="48"/>
      <c r="I87" s="48"/>
      <c r="J87" s="436"/>
      <c r="K87" s="48"/>
      <c r="N87" s="75"/>
    </row>
    <row r="88" spans="2:14" x14ac:dyDescent="0.2">
      <c r="B88" s="74"/>
      <c r="E88" s="48"/>
      <c r="F88" s="436"/>
      <c r="G88" s="48"/>
      <c r="H88" s="48"/>
      <c r="I88" s="48"/>
      <c r="J88" s="440">
        <f>IF(RIGHT(Nb_diam,1)=",", "", l_j)</f>
        <v>50</v>
      </c>
      <c r="K88" s="48"/>
      <c r="N88" s="75"/>
    </row>
    <row r="89" spans="2:14" ht="13.5" thickBot="1" x14ac:dyDescent="0.25">
      <c r="B89" s="74"/>
      <c r="E89" s="48"/>
      <c r="F89" s="436"/>
      <c r="G89" s="48"/>
      <c r="H89" s="48"/>
      <c r="I89" s="48"/>
      <c r="J89" s="436"/>
      <c r="K89" s="48"/>
      <c r="N89" s="75"/>
    </row>
    <row r="90" spans="2:14" ht="13.5" thickBot="1" x14ac:dyDescent="0.25">
      <c r="B90" s="74"/>
      <c r="E90" s="434" t="s">
        <v>342</v>
      </c>
      <c r="F90" s="440">
        <f>IF(RIGHT(Nb_diam,1)=",", "", D2j)</f>
        <v>104</v>
      </c>
      <c r="G90" s="48"/>
      <c r="H90" s="48"/>
      <c r="I90" s="48"/>
      <c r="J90" s="441">
        <f>X_ail-m_ail</f>
        <v>825</v>
      </c>
      <c r="K90" s="2"/>
      <c r="N90" s="75"/>
    </row>
    <row r="91" spans="2:14" x14ac:dyDescent="0.2">
      <c r="B91" s="74"/>
      <c r="E91" s="48"/>
      <c r="F91" s="436"/>
      <c r="G91" s="48"/>
      <c r="H91" s="48"/>
      <c r="I91" s="48"/>
      <c r="J91" s="436"/>
      <c r="K91" s="48"/>
      <c r="N91" s="75"/>
    </row>
    <row r="92" spans="2:14" x14ac:dyDescent="0.2">
      <c r="B92" s="74"/>
      <c r="E92" s="48"/>
      <c r="F92" s="436"/>
      <c r="G92" s="48"/>
      <c r="H92" s="48"/>
      <c r="I92" s="48"/>
      <c r="J92" s="440">
        <f>IF(RIGHT(Nb_diam,1)=",", "", l_r)</f>
        <v>50</v>
      </c>
      <c r="K92" s="48"/>
      <c r="N92" s="75"/>
    </row>
    <row r="93" spans="2:14" x14ac:dyDescent="0.2">
      <c r="B93" s="74"/>
      <c r="E93" s="48"/>
      <c r="F93" s="436"/>
      <c r="G93" s="48"/>
      <c r="H93" s="48"/>
      <c r="I93" s="48"/>
      <c r="J93" s="436"/>
      <c r="K93" s="48"/>
      <c r="N93" s="75"/>
    </row>
    <row r="94" spans="2:14" x14ac:dyDescent="0.2">
      <c r="B94" s="74"/>
      <c r="E94" s="434" t="s">
        <v>343</v>
      </c>
      <c r="F94" s="440">
        <f>IF(RIGHT(Nb_diam,1)=",", "", D2r)</f>
        <v>104</v>
      </c>
      <c r="G94" s="48"/>
      <c r="H94" s="48"/>
      <c r="I94" s="48"/>
      <c r="J94" s="436"/>
      <c r="K94" s="48"/>
      <c r="N94" s="75"/>
    </row>
    <row r="95" spans="2:14" x14ac:dyDescent="0.2">
      <c r="B95" s="74"/>
      <c r="E95" s="48"/>
      <c r="F95" s="436"/>
      <c r="G95" s="48"/>
      <c r="H95" s="48"/>
      <c r="I95" s="48"/>
      <c r="J95" s="436"/>
      <c r="K95" s="48"/>
      <c r="N95" s="75"/>
    </row>
    <row r="96" spans="2:14" ht="13.5" thickBot="1" x14ac:dyDescent="0.25">
      <c r="B96" s="74"/>
      <c r="E96" s="48"/>
      <c r="F96" s="436"/>
      <c r="G96" s="48"/>
      <c r="H96" s="48"/>
      <c r="I96" s="48"/>
      <c r="J96" s="436"/>
      <c r="K96" s="48"/>
      <c r="N96" s="75"/>
    </row>
    <row r="97" spans="2:14" ht="13.5" thickBot="1" x14ac:dyDescent="0.25">
      <c r="B97" s="74"/>
      <c r="E97" s="273" t="s">
        <v>344</v>
      </c>
      <c r="F97" s="441">
        <f>m_ail</f>
        <v>190</v>
      </c>
      <c r="G97" s="48"/>
      <c r="H97" s="48"/>
      <c r="I97" s="48"/>
      <c r="J97" s="441">
        <f>p_ail</f>
        <v>180</v>
      </c>
      <c r="K97" s="2"/>
      <c r="N97" s="75"/>
    </row>
    <row r="98" spans="2:14" x14ac:dyDescent="0.2">
      <c r="B98" s="74"/>
      <c r="E98" s="48"/>
      <c r="F98" s="48"/>
      <c r="G98" s="48"/>
      <c r="H98" s="48"/>
      <c r="I98" s="48"/>
      <c r="J98" s="436"/>
      <c r="K98" s="48"/>
      <c r="N98" s="75"/>
    </row>
    <row r="99" spans="2:14" x14ac:dyDescent="0.2">
      <c r="B99" s="74"/>
      <c r="E99" s="48"/>
      <c r="F99" s="48"/>
      <c r="G99" s="48"/>
      <c r="H99" s="48"/>
      <c r="I99" s="48"/>
      <c r="J99" s="436"/>
      <c r="K99" s="48"/>
      <c r="N99" s="75"/>
    </row>
    <row r="100" spans="2:14" ht="13.5" thickBot="1" x14ac:dyDescent="0.25">
      <c r="B100" s="74"/>
      <c r="D100" s="429" t="s">
        <v>346</v>
      </c>
      <c r="E100" s="246">
        <f>Q_ail</f>
        <v>4</v>
      </c>
      <c r="F100" s="430"/>
      <c r="G100" s="48"/>
      <c r="H100" s="48"/>
      <c r="I100" s="48"/>
      <c r="J100" s="436"/>
      <c r="K100" s="48"/>
      <c r="N100" s="75"/>
    </row>
    <row r="101" spans="2:14" ht="13.5" thickBot="1" x14ac:dyDescent="0.25">
      <c r="B101" s="74"/>
      <c r="D101" s="437" t="s">
        <v>350</v>
      </c>
      <c r="E101" s="6">
        <f ca="1">XpropuRef-Long_propu</f>
        <v>547</v>
      </c>
      <c r="F101" s="252"/>
      <c r="G101" s="48"/>
      <c r="H101" s="48"/>
      <c r="I101" s="48"/>
      <c r="J101" s="441">
        <f>n_ail</f>
        <v>60</v>
      </c>
      <c r="K101" s="2"/>
      <c r="N101" s="75"/>
    </row>
    <row r="102" spans="2:14" x14ac:dyDescent="0.2">
      <c r="B102" s="74"/>
      <c r="D102" s="437" t="s">
        <v>347</v>
      </c>
      <c r="E102" s="6">
        <f>IF(LEFT(Forme_ogive,4)="Ogiv",1,0)</f>
        <v>0</v>
      </c>
      <c r="F102" s="252" t="s">
        <v>348</v>
      </c>
      <c r="G102" s="48"/>
      <c r="H102" s="48"/>
      <c r="I102" s="48"/>
      <c r="J102" s="436"/>
      <c r="K102" s="48"/>
      <c r="N102" s="75"/>
    </row>
    <row r="103" spans="2:14" x14ac:dyDescent="0.2">
      <c r="B103" s="74"/>
      <c r="D103" s="437"/>
      <c r="E103" s="6">
        <f>IF(LEFT(Forme_ogive,3)="Con",1,0)</f>
        <v>1</v>
      </c>
      <c r="F103" s="252" t="s">
        <v>160</v>
      </c>
      <c r="G103" s="48"/>
      <c r="H103" s="48"/>
      <c r="I103" s="48"/>
      <c r="J103" s="436"/>
      <c r="K103" s="48"/>
      <c r="N103" s="75"/>
    </row>
    <row r="104" spans="2:14" ht="13.5" thickBot="1" x14ac:dyDescent="0.25">
      <c r="B104" s="74"/>
      <c r="D104" s="431"/>
      <c r="E104" s="274">
        <f>IF(LEFT(Forme_ogive,5)="Parab",1,0)</f>
        <v>0</v>
      </c>
      <c r="F104" s="289" t="s">
        <v>349</v>
      </c>
      <c r="G104" s="48"/>
      <c r="H104" s="48"/>
      <c r="I104" s="48"/>
      <c r="J104" s="12" t="s">
        <v>345</v>
      </c>
      <c r="K104" s="48"/>
      <c r="N104" s="75"/>
    </row>
    <row r="105" spans="2:14" ht="13.5" thickBot="1" x14ac:dyDescent="0.25">
      <c r="B105" s="74"/>
      <c r="D105" s="2"/>
      <c r="E105" s="2"/>
      <c r="F105" s="2"/>
      <c r="G105" s="273"/>
      <c r="H105" s="441">
        <f>E_ail</f>
        <v>130</v>
      </c>
      <c r="I105" s="273"/>
      <c r="J105" s="441">
        <f>ep_ail</f>
        <v>3</v>
      </c>
      <c r="K105" s="48"/>
      <c r="N105" s="75"/>
    </row>
    <row r="106" spans="2:14" x14ac:dyDescent="0.2">
      <c r="B106" s="74"/>
      <c r="D106" s="429"/>
      <c r="E106" s="246" t="s">
        <v>354</v>
      </c>
      <c r="F106" s="243" t="s">
        <v>353</v>
      </c>
      <c r="N106" s="75"/>
    </row>
    <row r="107" spans="2:14" x14ac:dyDescent="0.2">
      <c r="B107" s="74"/>
      <c r="D107" s="437" t="s">
        <v>351</v>
      </c>
      <c r="E107" s="6">
        <f>MasseSans</f>
        <v>6.2</v>
      </c>
      <c r="F107" s="244">
        <f ca="1">MassePlein</f>
        <v>7.8849999999999998</v>
      </c>
      <c r="N107" s="75"/>
    </row>
    <row r="108" spans="2:14" x14ac:dyDescent="0.2">
      <c r="B108" s="74"/>
      <c r="D108" s="431" t="s">
        <v>352</v>
      </c>
      <c r="E108" s="274">
        <f>XcgSans</f>
        <v>260</v>
      </c>
      <c r="F108" s="260">
        <f ca="1">XcgPlein</f>
        <v>374.75523145212424</v>
      </c>
      <c r="N108" s="75"/>
    </row>
    <row r="109" spans="2:14" x14ac:dyDescent="0.2">
      <c r="B109" s="74"/>
      <c r="N109" s="75"/>
    </row>
    <row r="110" spans="2:14" x14ac:dyDescent="0.2">
      <c r="B110" s="74"/>
      <c r="D110" s="438" t="s">
        <v>355</v>
      </c>
      <c r="E110" s="439">
        <f ca="1">MasseVide</f>
        <v>6.8520000000000003</v>
      </c>
      <c r="G110" s="429" t="s">
        <v>356</v>
      </c>
      <c r="H110" s="265"/>
      <c r="I110" s="265"/>
      <c r="J110" s="266"/>
      <c r="N110" s="75"/>
    </row>
    <row r="111" spans="2:14" x14ac:dyDescent="0.2">
      <c r="B111" s="74"/>
      <c r="G111" s="276" t="s">
        <v>214</v>
      </c>
      <c r="H111" s="6">
        <f>Beta_rampe</f>
        <v>85</v>
      </c>
      <c r="I111" s="6">
        <v>80</v>
      </c>
      <c r="J111" s="244">
        <v>90</v>
      </c>
      <c r="N111" s="75"/>
    </row>
    <row r="112" spans="2:14" x14ac:dyDescent="0.2">
      <c r="B112" s="74"/>
      <c r="G112" s="278" t="s">
        <v>216</v>
      </c>
      <c r="H112" s="247">
        <f ca="1">Temps_culmi</f>
        <v>18.199999999999946</v>
      </c>
      <c r="I112" s="259"/>
      <c r="J112" s="268"/>
      <c r="N112" s="75"/>
    </row>
    <row r="113" spans="2:14" ht="12.75" customHeight="1" x14ac:dyDescent="0.25">
      <c r="B113" s="74"/>
      <c r="D113" s="435" t="s">
        <v>357</v>
      </c>
      <c r="E113" s="48"/>
      <c r="G113" s="278" t="s">
        <v>217</v>
      </c>
      <c r="H113" s="242">
        <f ca="1">Altitude_culmi</f>
        <v>1738.4460976679284</v>
      </c>
      <c r="I113" s="259"/>
      <c r="J113" s="268"/>
      <c r="N113" s="75"/>
    </row>
    <row r="114" spans="2:14" ht="12.75" customHeight="1" x14ac:dyDescent="0.25">
      <c r="B114" s="74"/>
      <c r="D114" s="48"/>
      <c r="E114" s="48"/>
      <c r="F114" s="435"/>
      <c r="G114" s="278" t="s">
        <v>218</v>
      </c>
      <c r="H114" s="248">
        <f ca="1">Vit_culmi</f>
        <v>14.270041345691116</v>
      </c>
      <c r="I114" s="259"/>
      <c r="J114" s="268"/>
      <c r="N114" s="75"/>
    </row>
    <row r="115" spans="2:14" x14ac:dyDescent="0.2">
      <c r="B115" s="74"/>
      <c r="C115" s="429" t="s">
        <v>358</v>
      </c>
      <c r="D115" s="249"/>
      <c r="E115" s="446">
        <v>0.1</v>
      </c>
      <c r="G115" s="278" t="s">
        <v>134</v>
      </c>
      <c r="H115" s="242">
        <f ca="1">Portee_balistique</f>
        <v>539.267207314762</v>
      </c>
      <c r="I115" s="259"/>
      <c r="J115" s="268"/>
      <c r="N115" s="75"/>
    </row>
    <row r="116" spans="2:14" ht="12.75" customHeight="1" x14ac:dyDescent="0.2">
      <c r="B116" s="74"/>
      <c r="C116" s="431" t="s">
        <v>359</v>
      </c>
      <c r="D116" s="255"/>
      <c r="E116" s="447">
        <f>E_ail*(m_ail+n_ail)/2</f>
        <v>16250</v>
      </c>
      <c r="G116" s="278" t="s">
        <v>138</v>
      </c>
      <c r="H116" s="248">
        <f ca="1">Vit_max</f>
        <v>214.51934012791119</v>
      </c>
      <c r="I116" s="259"/>
      <c r="J116" s="268"/>
      <c r="N116" s="75"/>
    </row>
    <row r="117" spans="2:14" ht="12.75" customHeight="1" x14ac:dyDescent="0.2">
      <c r="B117" s="74"/>
      <c r="D117" s="48"/>
      <c r="E117" s="48"/>
      <c r="F117" s="48"/>
      <c r="G117" s="278" t="s">
        <v>137</v>
      </c>
      <c r="H117" s="242">
        <f ca="1">Acc_max</f>
        <v>103.56971828823482</v>
      </c>
      <c r="I117" s="259"/>
      <c r="J117" s="268"/>
      <c r="N117" s="75"/>
    </row>
    <row r="118" spans="2:14" x14ac:dyDescent="0.2">
      <c r="B118" s="74"/>
      <c r="C118" s="429" t="s">
        <v>360</v>
      </c>
      <c r="D118" s="249"/>
      <c r="E118" s="457"/>
      <c r="F118" s="458">
        <f>J90/100</f>
        <v>8.25</v>
      </c>
      <c r="G118" s="276" t="s">
        <v>5</v>
      </c>
      <c r="H118" s="6">
        <f>Cx</f>
        <v>0.5</v>
      </c>
      <c r="I118" s="259"/>
      <c r="J118" s="268"/>
      <c r="N118" s="75"/>
    </row>
    <row r="119" spans="2:14" x14ac:dyDescent="0.2">
      <c r="B119" s="74"/>
      <c r="C119" s="437" t="s">
        <v>361</v>
      </c>
      <c r="D119" s="2"/>
      <c r="E119" s="459">
        <f ca="1">2*Acc_max*MasseSans</f>
        <v>1284.2645067741119</v>
      </c>
      <c r="F119" s="460">
        <f ca="1">E119/g</f>
        <v>130.91381312682077</v>
      </c>
      <c r="G119" s="269" t="s">
        <v>223</v>
      </c>
      <c r="H119" s="270"/>
      <c r="I119" s="270"/>
      <c r="J119" s="271"/>
      <c r="N119" s="75"/>
    </row>
    <row r="120" spans="2:14" x14ac:dyDescent="0.2">
      <c r="B120" s="74"/>
      <c r="C120" s="437" t="s">
        <v>362</v>
      </c>
      <c r="D120" s="2"/>
      <c r="E120" s="459">
        <f ca="1">2*Acc_max*E115</f>
        <v>20.713943657646965</v>
      </c>
      <c r="F120" s="460">
        <f ca="1">E120/g</f>
        <v>2.1115131149487221</v>
      </c>
      <c r="N120" s="75"/>
    </row>
    <row r="121" spans="2:14" x14ac:dyDescent="0.2">
      <c r="B121" s="74"/>
      <c r="C121" s="431" t="s">
        <v>363</v>
      </c>
      <c r="D121" s="255"/>
      <c r="E121" s="452">
        <f ca="1">0.104*E116/1000000*Vit_max^2</f>
        <v>77.771344918265427</v>
      </c>
      <c r="F121" s="453">
        <f ca="1">E121/g</f>
        <v>7.9277619692421428</v>
      </c>
      <c r="G121" s="48"/>
      <c r="H121" s="48"/>
      <c r="I121" s="48"/>
      <c r="J121" s="48"/>
      <c r="N121" s="75"/>
    </row>
    <row r="122" spans="2:14" ht="12.75" customHeight="1" x14ac:dyDescent="0.2">
      <c r="B122" s="74"/>
      <c r="H122" s="48"/>
      <c r="I122" s="48"/>
      <c r="J122" s="48"/>
      <c r="N122" s="75"/>
    </row>
    <row r="123" spans="2:14" ht="12.75" customHeight="1" x14ac:dyDescent="0.25">
      <c r="B123" s="74"/>
      <c r="G123" s="435"/>
      <c r="H123" s="435"/>
      <c r="I123" s="435"/>
      <c r="J123" s="48"/>
      <c r="N123" s="75"/>
    </row>
    <row r="124" spans="2:14" ht="12.75" customHeight="1" x14ac:dyDescent="0.25">
      <c r="B124" s="74"/>
      <c r="C124" s="48"/>
      <c r="D124" s="435" t="s">
        <v>364</v>
      </c>
      <c r="E124" s="448"/>
      <c r="J124" s="48"/>
      <c r="K124" s="48"/>
      <c r="N124" s="75"/>
    </row>
    <row r="125" spans="2:14" x14ac:dyDescent="0.2">
      <c r="B125" s="74"/>
      <c r="C125" s="445" t="s">
        <v>365</v>
      </c>
      <c r="J125" s="48"/>
      <c r="K125" s="48"/>
      <c r="N125" s="75"/>
    </row>
    <row r="126" spans="2:14" x14ac:dyDescent="0.2">
      <c r="B126" s="74"/>
      <c r="C126" s="429" t="s">
        <v>366</v>
      </c>
      <c r="D126" s="249"/>
      <c r="E126" s="449">
        <v>4</v>
      </c>
      <c r="G126" s="48"/>
      <c r="J126" s="48"/>
      <c r="N126" s="75"/>
    </row>
    <row r="127" spans="2:14" x14ac:dyDescent="0.2">
      <c r="B127" s="74"/>
      <c r="C127" s="431" t="s">
        <v>367</v>
      </c>
      <c r="D127" s="255"/>
      <c r="E127" s="456">
        <f>S_para</f>
        <v>0.24</v>
      </c>
      <c r="G127" s="48"/>
      <c r="J127" s="48"/>
      <c r="N127" s="75"/>
    </row>
    <row r="128" spans="2:14" x14ac:dyDescent="0.2">
      <c r="B128" s="74"/>
      <c r="C128" s="660" t="s">
        <v>368</v>
      </c>
      <c r="D128" s="661"/>
      <c r="E128" s="450">
        <f ca="1">0.5*Rho_moyen*S_para*Vit_culmi^2</f>
        <v>29.934209761136881</v>
      </c>
      <c r="F128" s="451">
        <f ca="1">E128/g</f>
        <v>3.0513975291678777</v>
      </c>
      <c r="H128" s="48"/>
      <c r="I128" s="48"/>
      <c r="J128" s="48"/>
      <c r="K128" s="48"/>
      <c r="N128" s="75"/>
    </row>
    <row r="129" spans="2:14" x14ac:dyDescent="0.2">
      <c r="B129" s="74"/>
      <c r="C129" s="658" t="s">
        <v>369</v>
      </c>
      <c r="D129" s="659"/>
      <c r="E129" s="452">
        <f ca="1">E128/E126*2</f>
        <v>14.96710488056844</v>
      </c>
      <c r="F129" s="453">
        <f ca="1">E129/g</f>
        <v>1.5256987645839388</v>
      </c>
      <c r="H129" s="48"/>
      <c r="I129" s="48"/>
      <c r="J129" s="48"/>
      <c r="K129" s="48"/>
      <c r="N129" s="75"/>
    </row>
    <row r="130" spans="2:14" x14ac:dyDescent="0.2">
      <c r="B130" s="74"/>
      <c r="C130" s="47"/>
      <c r="D130" s="47"/>
      <c r="E130" s="443"/>
      <c r="F130" s="444"/>
      <c r="H130" s="48"/>
      <c r="I130" s="48"/>
      <c r="J130" s="48"/>
      <c r="K130" s="48"/>
      <c r="N130" s="75"/>
    </row>
    <row r="131" spans="2:14" x14ac:dyDescent="0.2">
      <c r="B131" s="74"/>
      <c r="C131" s="445" t="s">
        <v>370</v>
      </c>
      <c r="D131" s="48"/>
      <c r="E131" s="48"/>
      <c r="F131" s="48"/>
      <c r="G131" s="48"/>
      <c r="H131" s="48"/>
      <c r="I131" s="48"/>
      <c r="J131" s="48"/>
      <c r="K131" s="48"/>
      <c r="N131" s="75"/>
    </row>
    <row r="132" spans="2:14" x14ac:dyDescent="0.2">
      <c r="B132" s="74"/>
      <c r="C132" s="660" t="s">
        <v>371</v>
      </c>
      <c r="D132" s="661"/>
      <c r="E132" s="454">
        <v>1</v>
      </c>
      <c r="F132" s="48"/>
      <c r="G132" s="48"/>
      <c r="H132" s="48"/>
      <c r="I132" s="48"/>
      <c r="J132" s="442"/>
      <c r="K132" s="48"/>
      <c r="N132" s="75"/>
    </row>
    <row r="133" spans="2:14" x14ac:dyDescent="0.2">
      <c r="B133" s="74"/>
      <c r="C133" s="658" t="s">
        <v>372</v>
      </c>
      <c r="D133" s="659"/>
      <c r="E133" s="455">
        <f ca="1">2*E132*Acc_max/g</f>
        <v>21.115131149487222</v>
      </c>
      <c r="F133" s="48"/>
      <c r="G133" s="48"/>
      <c r="H133" s="48"/>
      <c r="I133" s="48"/>
      <c r="J133" s="48"/>
      <c r="K133" s="48"/>
      <c r="N133" s="75"/>
    </row>
    <row r="134" spans="2:14" ht="13.5" thickBot="1" x14ac:dyDescent="0.25">
      <c r="B134" s="77"/>
      <c r="C134" s="461"/>
      <c r="D134" s="461"/>
      <c r="E134" s="461"/>
      <c r="F134" s="461"/>
      <c r="G134" s="461"/>
      <c r="H134" s="461"/>
      <c r="I134" s="461"/>
      <c r="J134" s="461"/>
      <c r="K134" s="461"/>
      <c r="L134" s="78"/>
      <c r="M134" s="78"/>
      <c r="N134" s="79"/>
    </row>
  </sheetData>
  <sheetProtection password="C6AC" sheet="1"/>
  <mergeCells count="22">
    <mergeCell ref="H11:I11"/>
    <mergeCell ref="H12:I12"/>
    <mergeCell ref="H13:I13"/>
    <mergeCell ref="H29:K29"/>
    <mergeCell ref="C29:C30"/>
    <mergeCell ref="D29:D30"/>
    <mergeCell ref="H17:I17"/>
    <mergeCell ref="H18:I18"/>
    <mergeCell ref="H19:I19"/>
    <mergeCell ref="E29:G30"/>
    <mergeCell ref="E31:G31"/>
    <mergeCell ref="M29:M30"/>
    <mergeCell ref="H30:I30"/>
    <mergeCell ref="L29:L30"/>
    <mergeCell ref="H31:I31"/>
    <mergeCell ref="C133:D133"/>
    <mergeCell ref="C128:D128"/>
    <mergeCell ref="C129:D129"/>
    <mergeCell ref="C132:D132"/>
    <mergeCell ref="H44:I44"/>
    <mergeCell ref="H45:I45"/>
    <mergeCell ref="H46:I46"/>
  </mergeCells>
  <phoneticPr fontId="8" type="noConversion"/>
  <conditionalFormatting sqref="D18:E18">
    <cfRule type="expression" dxfId="2" priority="2" stopIfTrue="1">
      <formula>IF(Propu="Cariacou",0,1)</formula>
    </cfRule>
  </conditionalFormatting>
  <conditionalFormatting sqref="F18:I19">
    <cfRule type="expression" dxfId="1" priority="1" stopIfTrue="1">
      <formula>IF(Propu="Cariacou",1,0)</formula>
    </cfRule>
  </conditionalFormatting>
  <conditionalFormatting sqref="I16 I68:I73">
    <cfRule type="expression" dxfId="0" priority="6" stopIfTrue="1">
      <formula>Nb_sat="0 satellite"</formula>
    </cfRule>
  </conditionalFormatting>
  <pageMargins left="0.39370078740157483" right="0.39370078740157483" top="0.39370078740157483" bottom="0.39370078740157483" header="0" footer="0"/>
  <pageSetup paperSize="9" scale="61" orientation="portrait" r:id="rId1"/>
  <ignoredErrors>
    <ignoredError sqref="H65 H63" unlocked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214</vt:i4>
      </vt:variant>
    </vt:vector>
  </HeadingPairs>
  <TitlesOfParts>
    <vt:vector size="222" baseType="lpstr">
      <vt:lpstr>Stabilito</vt:lpstr>
      <vt:lpstr>Trajecto</vt:lpstr>
      <vt:lpstr>Courbes</vt:lpstr>
      <vt:lpstr>Propu</vt:lpstr>
      <vt:lpstr>Calculs</vt:lpstr>
      <vt:lpstr>Abaco</vt:lpstr>
      <vt:lpstr>Info</vt:lpstr>
      <vt:lpstr>Controle</vt:lpstr>
      <vt:lpstr>a_prop</vt:lpstr>
      <vt:lpstr>Acc_max</vt:lpstr>
      <vt:lpstr>acc_x</vt:lpstr>
      <vt:lpstr>acc_xz</vt:lpstr>
      <vt:lpstr>acc_z</vt:lpstr>
      <vt:lpstr>Alt_para</vt:lpstr>
      <vt:lpstr>alt_prop</vt:lpstr>
      <vt:lpstr>Alt_rampe</vt:lpstr>
      <vt:lpstr>Alt_sat</vt:lpstr>
      <vt:lpstr>Altitude_culmi</vt:lpstr>
      <vt:lpstr>b_bal</vt:lpstr>
      <vt:lpstr>b_prop</vt:lpstr>
      <vt:lpstr>Beta</vt:lpstr>
      <vt:lpstr>Beta_rampe</vt:lpstr>
      <vt:lpstr>BetaD</vt:lpstr>
      <vt:lpstr>CdP</vt:lpstr>
      <vt:lpstr>CdP_P</vt:lpstr>
      <vt:lpstr>CdP_t</vt:lpstr>
      <vt:lpstr>Club</vt:lpstr>
      <vt:lpstr>Cn</vt:lpstr>
      <vt:lpstr>Cn0</vt:lpstr>
      <vt:lpstr>Stabilito!Cnai</vt:lpstr>
      <vt:lpstr>Cnai0</vt:lpstr>
      <vt:lpstr>Stabilito!Cnail</vt:lpstr>
      <vt:lpstr>Stabilito!Cnc</vt:lpstr>
      <vt:lpstr>Stabilito!Cni</vt:lpstr>
      <vt:lpstr>Cni0</vt:lpstr>
      <vt:lpstr>Stabilito!Cnj</vt:lpstr>
      <vt:lpstr>Stabilito!Cno</vt:lpstr>
      <vt:lpstr>Stabilito!Cnr</vt:lpstr>
      <vt:lpstr>Combustion</vt:lpstr>
      <vt:lpstr>Stabilito!CritCnmax</vt:lpstr>
      <vt:lpstr>Stabilito!CritCnmin</vt:lpstr>
      <vt:lpstr>Stabilito!CritFinessemax</vt:lpstr>
      <vt:lpstr>Stabilito!CritFinessemin</vt:lpstr>
      <vt:lpstr>Stabilito!CritMsCnmax</vt:lpstr>
      <vt:lpstr>Stabilito!CritMsCnmin</vt:lpstr>
      <vt:lpstr>Stabilito!CritMsmax</vt:lpstr>
      <vt:lpstr>Stabilito!CritMsmin</vt:lpstr>
      <vt:lpstr>Cx</vt:lpstr>
      <vt:lpstr>Cx_para</vt:lpstr>
      <vt:lpstr>Cx_satellite</vt:lpstr>
      <vt:lpstr>D_ail</vt:lpstr>
      <vt:lpstr>Stabilito!D_can</vt:lpstr>
      <vt:lpstr>Stabilito!D_int</vt:lpstr>
      <vt:lpstr>D_og</vt:lpstr>
      <vt:lpstr>D_ref</vt:lpstr>
      <vt:lpstr>D_var</vt:lpstr>
      <vt:lpstr>D1j</vt:lpstr>
      <vt:lpstr>D1r</vt:lpstr>
      <vt:lpstr>D2j</vt:lpstr>
      <vt:lpstr>D2r</vt:lpstr>
      <vt:lpstr>Débit</vt:lpstr>
      <vt:lpstr>Depotage</vt:lpstr>
      <vt:lpstr>Diam_propu</vt:lpstr>
      <vt:lpstr>Dt_para</vt:lpstr>
      <vt:lpstr>Dt_satellite</vt:lpstr>
      <vt:lpstr>Dx_para</vt:lpstr>
      <vt:lpstr>Dx_sat</vt:lpstr>
      <vt:lpstr>E_ail</vt:lpstr>
      <vt:lpstr>E_can</vt:lpstr>
      <vt:lpstr>Stabilito!E_int</vt:lpstr>
      <vt:lpstr>ep_ail</vt:lpstr>
      <vt:lpstr>ep_can</vt:lpstr>
      <vt:lpstr>Stabilito!ep_int</vt:lpstr>
      <vt:lpstr>Event</vt:lpstr>
      <vt:lpstr>Event_para</vt:lpstr>
      <vt:lpstr>Event_sat</vt:lpstr>
      <vt:lpstr>Stabilito!f_ail</vt:lpstr>
      <vt:lpstr>Stabilito!f_can</vt:lpstr>
      <vt:lpstr>Stabilito!f_int</vt:lpstr>
      <vt:lpstr>Finesse</vt:lpstr>
      <vt:lpstr>Forme_ogive</vt:lpstr>
      <vt:lpstr>g</vt:lpstr>
      <vt:lpstr>i_P</vt:lpstr>
      <vt:lpstr>I_total</vt:lpstr>
      <vt:lpstr>ISP</vt:lpstr>
      <vt:lpstr>l_j</vt:lpstr>
      <vt:lpstr>l_r</vt:lpstr>
      <vt:lpstr>L_rampe</vt:lpstr>
      <vt:lpstr>Lang</vt:lpstr>
      <vt:lpstr>Liste_µfu</vt:lpstr>
      <vt:lpstr>Liste_fusex</vt:lpstr>
      <vt:lpstr>Liste_H2O</vt:lpstr>
      <vt:lpstr>Liste_minif</vt:lpstr>
      <vt:lpstr>Liste_minifT</vt:lpstr>
      <vt:lpstr>Liste_propu</vt:lpstr>
      <vt:lpstr>Liste_RC</vt:lpstr>
      <vt:lpstr>Long_ogive</vt:lpstr>
      <vt:lpstr>Long_propu</vt:lpstr>
      <vt:lpstr>Long_tot</vt:lpstr>
      <vt:lpstr>m</vt:lpstr>
      <vt:lpstr>m_ail</vt:lpstr>
      <vt:lpstr>m_bal</vt:lpstr>
      <vt:lpstr>m_can</vt:lpstr>
      <vt:lpstr>Stabilito!m_int</vt:lpstr>
      <vt:lpstr>m_poudre</vt:lpstr>
      <vt:lpstr>m_prop</vt:lpstr>
      <vt:lpstr>m_satellite</vt:lpstr>
      <vt:lpstr>m_tot</vt:lpstr>
      <vt:lpstr>m_var</vt:lpstr>
      <vt:lpstr>m_vide</vt:lpstr>
      <vt:lpstr>Masse_ail</vt:lpstr>
      <vt:lpstr>MassePlein</vt:lpstr>
      <vt:lpstr>MasseSans</vt:lpstr>
      <vt:lpstr>MasseVide</vt:lpstr>
      <vt:lpstr>Menu_Empennage</vt:lpstr>
      <vt:lpstr>Menu_Lang</vt:lpstr>
      <vt:lpstr>Menu_Ogive</vt:lpstr>
      <vt:lpstr>Menu_sat</vt:lpstr>
      <vt:lpstr>Menu_Transitions</vt:lpstr>
      <vt:lpstr>Menu_Type</vt:lpstr>
      <vt:lpstr>Menu_with_motor</vt:lpstr>
      <vt:lpstr>MpropuPlein</vt:lpstr>
      <vt:lpstr>MpropuVide</vt:lpstr>
      <vt:lpstr>MS_Cn_max</vt:lpstr>
      <vt:lpstr>MS_Cn_min</vt:lpstr>
      <vt:lpstr>MS_max</vt:lpstr>
      <vt:lpstr>MS_min</vt:lpstr>
      <vt:lpstr>n_ail</vt:lpstr>
      <vt:lpstr>n_can</vt:lpstr>
      <vt:lpstr>Stabilito!n_int</vt:lpstr>
      <vt:lpstr>Nb_diam</vt:lpstr>
      <vt:lpstr>Nb_sat</vt:lpstr>
      <vt:lpstr>Nom</vt:lpstr>
      <vt:lpstr>p_ail</vt:lpstr>
      <vt:lpstr>p_can</vt:lpstr>
      <vt:lpstr>Stabilito!p_int</vt:lpstr>
      <vt:lpstr>pas</vt:lpstr>
      <vt:lpstr>Poids</vt:lpstr>
      <vt:lpstr>Portee_balistique</vt:lpstr>
      <vt:lpstr>pos_x</vt:lpstr>
      <vt:lpstr>pos_xz</vt:lpstr>
      <vt:lpstr>pos_z</vt:lpstr>
      <vt:lpstr>pos_z_montant</vt:lpstr>
      <vt:lpstr>Poussee</vt:lpstr>
      <vt:lpstr>Propu</vt:lpstr>
      <vt:lpstr>Q_ail</vt:lpstr>
      <vt:lpstr>Q_can</vt:lpstr>
      <vt:lpstr>Stabilito!Q_int</vt:lpstr>
      <vt:lpstr>Q_var</vt:lpstr>
      <vt:lpstr>R_rampe</vt:lpstr>
      <vt:lpstr>Rho</vt:lpstr>
      <vt:lpstr>Rho_moyen</vt:lpstr>
      <vt:lpstr>S_ail</vt:lpstr>
      <vt:lpstr>S_para</vt:lpstr>
      <vt:lpstr>S_para_croix</vt:lpstr>
      <vt:lpstr>S_para_rond</vt:lpstr>
      <vt:lpstr>S_satellite</vt:lpstr>
      <vt:lpstr>Sref</vt:lpstr>
      <vt:lpstr>sS</vt:lpstr>
      <vt:lpstr>t</vt:lpstr>
      <vt:lpstr>T_balistique</vt:lpstr>
      <vt:lpstr>T_ini</vt:lpstr>
      <vt:lpstr>T_para</vt:lpstr>
      <vt:lpstr>T_satellite</vt:lpstr>
      <vt:lpstr>Temps_culmi</vt:lpstr>
      <vt:lpstr>Temps_fin_propu</vt:lpstr>
      <vt:lpstr>Trainee</vt:lpstr>
      <vt:lpstr>tT_fus</vt:lpstr>
      <vt:lpstr>tT_sat</vt:lpstr>
      <vt:lpstr>Type_fusee</vt:lpstr>
      <vt:lpstr>Abaco!Type_masquage</vt:lpstr>
      <vt:lpstr>Stabilito!Type_masquage</vt:lpstr>
      <vt:lpstr>Type_propu</vt:lpstr>
      <vt:lpstr>V_ini</vt:lpstr>
      <vt:lpstr>V_ouv_sat</vt:lpstr>
      <vt:lpstr>V_ouverture</vt:lpstr>
      <vt:lpstr>V_para</vt:lpstr>
      <vt:lpstr>V_prop</vt:lpstr>
      <vt:lpstr>V_satellite</vt:lpstr>
      <vt:lpstr>V_vent</vt:lpstr>
      <vt:lpstr>V_vent_sat</vt:lpstr>
      <vt:lpstr>Stabilito!Version</vt:lpstr>
      <vt:lpstr>Trajecto!Version</vt:lpstr>
      <vt:lpstr>Vit_culmi</vt:lpstr>
      <vt:lpstr>Vit_max</vt:lpstr>
      <vt:lpstr>vit_x</vt:lpstr>
      <vt:lpstr>vit_xz</vt:lpstr>
      <vt:lpstr>vit_z</vt:lpstr>
      <vt:lpstr>Vsortie_de_rampe</vt:lpstr>
      <vt:lpstr>X_ail</vt:lpstr>
      <vt:lpstr>X_can</vt:lpstr>
      <vt:lpstr>X_culmi</vt:lpstr>
      <vt:lpstr>X_ini</vt:lpstr>
      <vt:lpstr>Stabilito!X_int</vt:lpstr>
      <vt:lpstr>X_j</vt:lpstr>
      <vt:lpstr>X_para</vt:lpstr>
      <vt:lpstr>X_r</vt:lpstr>
      <vt:lpstr>X_satellite</vt:lpstr>
      <vt:lpstr>XcgPlein</vt:lpstr>
      <vt:lpstr>XcgSans</vt:lpstr>
      <vt:lpstr>XcgVide</vt:lpstr>
      <vt:lpstr>Stabilito!XCp</vt:lpstr>
      <vt:lpstr>XCp0</vt:lpstr>
      <vt:lpstr>Stabilito!XCpa</vt:lpstr>
      <vt:lpstr>Stabilito!XCpai</vt:lpstr>
      <vt:lpstr>XCpai0</vt:lpstr>
      <vt:lpstr>Stabilito!XCpc</vt:lpstr>
      <vt:lpstr>Stabilito!XCpi</vt:lpstr>
      <vt:lpstr>XCpi0</vt:lpstr>
      <vt:lpstr>Stabilito!XCpj</vt:lpstr>
      <vt:lpstr>Stabilito!XCpo</vt:lpstr>
      <vt:lpstr>Stabilito!XCpr</vt:lpstr>
      <vt:lpstr>XpropuPlein</vt:lpstr>
      <vt:lpstr>XpropuRef</vt:lpstr>
      <vt:lpstr>XpropuVide</vt:lpstr>
      <vt:lpstr>Z_ini</vt:lpstr>
      <vt:lpstr>Abaco!Zone_d_impression</vt:lpstr>
      <vt:lpstr>Courbes!Zone_d_impression</vt:lpstr>
      <vt:lpstr>Stabilito!Zone_d_impression</vt:lpstr>
      <vt:lpstr>Trajecto!Zone_d_impression</vt:lpstr>
      <vt:lpstr>zZ_fus</vt:lpstr>
      <vt:lpstr>zZ_sat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StabTraj</dc:title>
  <dc:creator>Léo Côme;Sylvain Besson</dc:creator>
  <cp:lastModifiedBy>Alexis Paillard</cp:lastModifiedBy>
  <cp:lastPrinted>2011-11-08T21:12:34Z</cp:lastPrinted>
  <dcterms:created xsi:type="dcterms:W3CDTF">2008-11-03T20:48:06Z</dcterms:created>
  <dcterms:modified xsi:type="dcterms:W3CDTF">2025-05-04T07:54:32Z</dcterms:modified>
</cp:coreProperties>
</file>